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<sst xmlns="http://schemas.openxmlformats.org/spreadsheetml/2006/main" count="666" uniqueCount="242">
  <si>
    <t>RETRAMAR SA</t>
  </si>
  <si>
    <t>SCRAP METAL SHIPMENTS</t>
  </si>
  <si>
    <t>WMS1 &amp; WMS2  80/20</t>
  </si>
  <si>
    <t>COSTA RICA</t>
  </si>
  <si>
    <t>PO #</t>
  </si>
  <si>
    <t>VAN #</t>
  </si>
  <si>
    <t>WEIGHT</t>
  </si>
  <si>
    <t>STATUS</t>
  </si>
  <si>
    <t>CONTACT:</t>
  </si>
  <si>
    <t>SIZE</t>
  </si>
  <si>
    <t>PORT</t>
  </si>
  <si>
    <t>INLAND</t>
  </si>
  <si>
    <t>DOCS</t>
  </si>
  <si>
    <t>SHIPPER</t>
  </si>
  <si>
    <t>OCEAN</t>
  </si>
  <si>
    <t>STATUS CODES:</t>
  </si>
  <si>
    <t>IN-PROCESS</t>
  </si>
  <si>
    <t>FUTURE</t>
  </si>
  <si>
    <t>READY</t>
  </si>
  <si>
    <t>SHIPPED</t>
  </si>
  <si>
    <t>F</t>
  </si>
  <si>
    <t>I</t>
  </si>
  <si>
    <t>R</t>
  </si>
  <si>
    <t>S</t>
  </si>
  <si>
    <t>B/L #</t>
  </si>
  <si>
    <t>INVOICE #</t>
  </si>
  <si>
    <t>EVERGREEN</t>
  </si>
  <si>
    <t>LIMON</t>
  </si>
  <si>
    <t>INVOICE STATUS</t>
  </si>
  <si>
    <t>DATE</t>
  </si>
  <si>
    <t>AMOUNT</t>
  </si>
  <si>
    <t>PAYMENT</t>
  </si>
  <si>
    <t>NET</t>
  </si>
  <si>
    <r>
      <t>CREDIT/(</t>
    </r>
    <r>
      <rPr>
        <sz val="11"/>
        <color indexed="10"/>
        <rFont val="Calibri"/>
        <family val="2"/>
      </rPr>
      <t>DEBIT</t>
    </r>
    <r>
      <rPr>
        <sz val="11"/>
        <color theme="1"/>
        <rFont val="Calibri"/>
        <family val="2"/>
      </rPr>
      <t>)</t>
    </r>
  </si>
  <si>
    <t>FAITH</t>
  </si>
  <si>
    <t>SEAL #</t>
  </si>
  <si>
    <t xml:space="preserve"> </t>
  </si>
  <si>
    <t>EMCBPC7948</t>
  </si>
  <si>
    <t>EMCBPC7918</t>
  </si>
  <si>
    <t>SHIP</t>
  </si>
  <si>
    <t>MSC PAOLA V719R</t>
  </si>
  <si>
    <t>UNICONCORD V0957351N</t>
  </si>
  <si>
    <t>UNICONCORD V0956315N</t>
  </si>
  <si>
    <t>CARGO</t>
  </si>
  <si>
    <t>$/TON</t>
  </si>
  <si>
    <t>TOTAL</t>
  </si>
  <si>
    <t>SUB-TOTAL</t>
  </si>
  <si>
    <t xml:space="preserve"> #</t>
  </si>
  <si>
    <t>CUMULATIVE</t>
  </si>
  <si>
    <t>MSC</t>
  </si>
  <si>
    <t>CALDERA</t>
  </si>
  <si>
    <t>number of tons desired per week:</t>
  </si>
  <si>
    <t>number of 40' vans required:</t>
  </si>
  <si>
    <t>amount of deposits required:</t>
  </si>
  <si>
    <t>amount of cash for payment required:</t>
  </si>
  <si>
    <t>amount for inland freight and docs:</t>
  </si>
  <si>
    <t>WEEKLY</t>
  </si>
  <si>
    <t>MONTHLY</t>
  </si>
  <si>
    <t>TOTAL CNF COST/MT - JAKARTA</t>
  </si>
  <si>
    <t>EACH</t>
  </si>
  <si>
    <t>PLANNING CHART FOR WMS 1 &amp; 2 SHIPMENTS FROM COSTA RICA</t>
  </si>
  <si>
    <t>(ENTER VARIABLES DESIRED IN YELLOW SHADED BOXES)</t>
  </si>
  <si>
    <t>FROM</t>
  </si>
  <si>
    <t>TO</t>
  </si>
  <si>
    <t>JAKARTA</t>
  </si>
  <si>
    <t>Pto. LIMON</t>
  </si>
  <si>
    <t>Pto. CALDERA</t>
  </si>
  <si>
    <t>NYK</t>
  </si>
  <si>
    <t>HAPAG-LLOYD</t>
  </si>
  <si>
    <t>MAERSK</t>
  </si>
  <si>
    <t>GVCU 525940-8</t>
  </si>
  <si>
    <t xml:space="preserve">  EMCU 965191-0 </t>
  </si>
  <si>
    <t>FCIU 211417-3</t>
  </si>
  <si>
    <t>MSCU 472236-9</t>
  </si>
  <si>
    <t>INKU 223757-0</t>
  </si>
  <si>
    <t>UESU 508346-0</t>
  </si>
  <si>
    <t>MSCUCG068558</t>
  </si>
  <si>
    <t>RICARDO GUTIEREZ</t>
  </si>
  <si>
    <t>total amount advanced weekly:</t>
  </si>
  <si>
    <t>AVERAGE SEA FREIGHT - JAKARTA</t>
  </si>
  <si>
    <t>AVERAGE SEA FREIGHT - Kaohsiung</t>
  </si>
  <si>
    <t>TOTAL CNF COST/MT - KAOHSIUNG</t>
  </si>
  <si>
    <t xml:space="preserve">EMCBPE4388 </t>
  </si>
  <si>
    <t>EMCBPE3588</t>
  </si>
  <si>
    <t>EMCBPE3558</t>
  </si>
  <si>
    <t>EMCBPC9298</t>
  </si>
  <si>
    <t>UNICOCONCORD V0958316N</t>
  </si>
  <si>
    <t>UNICONCORD V0959-352N</t>
  </si>
  <si>
    <t>FSCU 952418-4</t>
  </si>
  <si>
    <t>GVCU 501582-3</t>
  </si>
  <si>
    <t>EMCU 961101-3</t>
  </si>
  <si>
    <t>UNICONCORD V0961-353N</t>
  </si>
  <si>
    <t>EMCBPE2108</t>
  </si>
  <si>
    <t>EMCBPE0448</t>
  </si>
  <si>
    <t>TT181689</t>
  </si>
  <si>
    <t>TT162444</t>
  </si>
  <si>
    <t>INVOICE</t>
  </si>
  <si>
    <t>TT113725</t>
  </si>
  <si>
    <t>TT175702</t>
  </si>
  <si>
    <t>TOTAL:</t>
  </si>
  <si>
    <t>Kaohsiung</t>
  </si>
  <si>
    <t>FSCU900745-3</t>
  </si>
  <si>
    <t>TGHU801872-3</t>
  </si>
  <si>
    <t>CRXU975046-8</t>
  </si>
  <si>
    <t>UNICORONA V0962318N</t>
  </si>
  <si>
    <t>PEND</t>
  </si>
  <si>
    <t>BPD2928</t>
  </si>
  <si>
    <t>MSCU910497-5</t>
  </si>
  <si>
    <t>MSC TUSCANY</t>
  </si>
  <si>
    <t>FSCU 687905-1</t>
  </si>
  <si>
    <t>UNICORONA V0964319N</t>
  </si>
  <si>
    <t>MSC PAOLA V721R</t>
  </si>
  <si>
    <t>MSC PROSPECT V030R</t>
  </si>
  <si>
    <t>mscuCG072782</t>
  </si>
  <si>
    <t>MSCU754897-0</t>
  </si>
  <si>
    <t>CONTENTS</t>
  </si>
  <si>
    <t>HMS1&amp;2(80/20)</t>
  </si>
  <si>
    <t>TOTAL TARGET CNF COST/MT - JAKARTA</t>
  </si>
  <si>
    <t>TOTAL TARGET CNF COST/MT - KAOHSIUNG</t>
  </si>
  <si>
    <t>Jakarta</t>
  </si>
  <si>
    <t>TARGET COST PER TON FOB Supplier</t>
  </si>
  <si>
    <t>APL</t>
  </si>
  <si>
    <t xml:space="preserve">MSCU 714705-2 </t>
  </si>
  <si>
    <t xml:space="preserve">FBLU 903104-7 </t>
  </si>
  <si>
    <t>MSC PAOLA V722R</t>
  </si>
  <si>
    <t>Pto. San Juan</t>
  </si>
  <si>
    <t>MSCUCG072022</t>
  </si>
  <si>
    <t>ETA</t>
  </si>
  <si>
    <t>2- Caucedo-Jakarta: USD900 /20’ &amp;  USD1150/40’ + dthc + b/l  USd25 + OTHC USd75</t>
  </si>
  <si>
    <t>3- Caucedo-Busan y kwangyang / KOREA: USD900 /20’ &amp;  USD1150/40’ + dthc + b/l  USd25 + OTHC USd75</t>
  </si>
  <si>
    <t>4- Caucedo-Izmir / Istanbul: usd 1150.- x 20’ / usd 1500.- x 40’ + OTHC usd75 + free out + isps</t>
  </si>
  <si>
    <t>5- Caucedo-Belawan / Indonesia: USD1100/40’ &amp; 950/20’ + DTHC USd95/20’ &amp; 245/40’ + BL25</t>
  </si>
  <si>
    <t>6- Caucedo-Huangpu / China: USD1100/40’ + DTHC + BL25  &amp;  USD825/20’ + DTHC + BL25 </t>
  </si>
  <si>
    <t>7- Caucedo – Taichung, / Taiwan. 20’dc = $1050 + dthc. / 40’hc = $1150 + dthc.</t>
  </si>
  <si>
    <t>Pto. Caucedo</t>
  </si>
  <si>
    <t>Taishung</t>
  </si>
  <si>
    <t>Huangpu</t>
  </si>
  <si>
    <t>Busan / Kwangyang</t>
  </si>
  <si>
    <t>Belawan</t>
  </si>
  <si>
    <t>Istanbul / Izmir</t>
  </si>
  <si>
    <t>Nhava Sheva</t>
  </si>
  <si>
    <t>1- Caucedo to Nhava Sheva / India: Usd 950.- x 20’ / usd 1200.- x 40’ + othc Usd75 + dthc  INR4104/20’  &amp; 6225/40’ + ihc (12.36% on top DTHC) + BL Usd25</t>
  </si>
  <si>
    <t>PUERTO RICO</t>
  </si>
  <si>
    <t>DOMINICAN REPUBLIC</t>
  </si>
  <si>
    <t>GUATEMALA</t>
  </si>
  <si>
    <t>Pto. Quetzahl</t>
  </si>
  <si>
    <t>El Salvador</t>
  </si>
  <si>
    <t>Pto. Acajutla</t>
  </si>
  <si>
    <t>Nicaragua</t>
  </si>
  <si>
    <t>Panama</t>
  </si>
  <si>
    <t>Ecuador</t>
  </si>
  <si>
    <t>Pto. Colon</t>
  </si>
  <si>
    <t>Pto. Balboa</t>
  </si>
  <si>
    <t>Pto. Guyaquil</t>
  </si>
  <si>
    <t>China Shipping</t>
  </si>
  <si>
    <t>Pto. Corinto</t>
  </si>
  <si>
    <t xml:space="preserve">San Salvador via Pto. Cortez - </t>
  </si>
  <si>
    <t>Ningbo</t>
  </si>
  <si>
    <t>Hong Kong</t>
  </si>
  <si>
    <t>Shanghai</t>
  </si>
  <si>
    <t>Quingdao</t>
  </si>
  <si>
    <t>Kaohsing</t>
  </si>
  <si>
    <t>Pto. San Tomas</t>
  </si>
  <si>
    <t>TT213040</t>
  </si>
  <si>
    <t>MSCUCG73830</t>
  </si>
  <si>
    <t>MSCUCG072832</t>
  </si>
  <si>
    <t>credit memo</t>
  </si>
  <si>
    <t>s</t>
  </si>
  <si>
    <t>APHU 695886-2</t>
  </si>
  <si>
    <t>APHU 698181-5</t>
  </si>
  <si>
    <t>GESU 484679-5</t>
  </si>
  <si>
    <t>GESU 563032-6</t>
  </si>
  <si>
    <t>MSC PAOLA 723R</t>
  </si>
  <si>
    <t>MSCUCG070341</t>
  </si>
  <si>
    <t>CAXU979569-0</t>
  </si>
  <si>
    <t>MSCU911863-9</t>
  </si>
  <si>
    <t>CLHU807399-9</t>
  </si>
  <si>
    <t>TTNU989515-8</t>
  </si>
  <si>
    <t>BOGOTA 063</t>
  </si>
  <si>
    <t>APL904012015</t>
  </si>
  <si>
    <t>FAITH +/-</t>
  </si>
  <si>
    <t>TRLU521890-2</t>
  </si>
  <si>
    <t>BOGOTA 064</t>
  </si>
  <si>
    <t>TT233938</t>
  </si>
  <si>
    <t>Advance Pmt.</t>
  </si>
  <si>
    <t>Invoice for 1000 MT</t>
  </si>
  <si>
    <t>BL Change Fees</t>
  </si>
  <si>
    <t>Inv. 1118 Reversal</t>
  </si>
  <si>
    <t>Merchandise Charge</t>
  </si>
  <si>
    <t>WT fees Charge reversal</t>
  </si>
  <si>
    <t>Reference (s)</t>
  </si>
  <si>
    <t>Line Item</t>
  </si>
  <si>
    <t>Control</t>
  </si>
  <si>
    <t>Control Line Item</t>
  </si>
  <si>
    <t>#2,3,4</t>
  </si>
  <si>
    <t>#1</t>
  </si>
  <si>
    <t>#5</t>
  </si>
  <si>
    <t>#4,6,7</t>
  </si>
  <si>
    <t>#11</t>
  </si>
  <si>
    <t>#8,9,10</t>
  </si>
  <si>
    <t>#22,2,3,4,6,7,8,9,10,13</t>
  </si>
  <si>
    <t>#22</t>
  </si>
  <si>
    <t>#26,27</t>
  </si>
  <si>
    <t>#13,14,15,16,17,18,19,20,21</t>
  </si>
  <si>
    <t>#23</t>
  </si>
  <si>
    <t>#24,25(Rejected merchandise)</t>
  </si>
  <si>
    <t>#14,15,16,17,18,19,20</t>
  </si>
  <si>
    <t>#12</t>
  </si>
  <si>
    <t>#30</t>
  </si>
  <si>
    <t>Total Invoiced</t>
  </si>
  <si>
    <t>Total Credit Memos Issued</t>
  </si>
  <si>
    <t xml:space="preserve">Total Payments </t>
  </si>
  <si>
    <r>
      <t>Total Receivable/(</t>
    </r>
    <r>
      <rPr>
        <sz val="11"/>
        <color indexed="10"/>
        <rFont val="Calibri"/>
        <family val="2"/>
      </rPr>
      <t>Payable</t>
    </r>
    <r>
      <rPr>
        <sz val="11"/>
        <color theme="1"/>
        <rFont val="Calibri"/>
        <family val="2"/>
      </rPr>
      <t>)</t>
    </r>
  </si>
  <si>
    <t>CM 1121</t>
  </si>
  <si>
    <t>FSCU677639-3</t>
  </si>
  <si>
    <t>CCLU625375-4</t>
  </si>
  <si>
    <t>CCLU676571-9</t>
  </si>
  <si>
    <t>CSCL</t>
  </si>
  <si>
    <t>LA BOUSSOLE</t>
  </si>
  <si>
    <t>APL904012210</t>
  </si>
  <si>
    <t>CONTRACT PRICE:</t>
  </si>
  <si>
    <t>Kaiohsiung  2</t>
  </si>
  <si>
    <t xml:space="preserve">Kaiohsiung 2 </t>
  </si>
  <si>
    <t xml:space="preserve">Kaiohsiung 1 </t>
  </si>
  <si>
    <t xml:space="preserve">JAKARTA  </t>
  </si>
  <si>
    <t>Pending Data</t>
  </si>
  <si>
    <t>FILE UPDATED:</t>
  </si>
  <si>
    <t>Tons Ordered</t>
  </si>
  <si>
    <t>Tons Shipped</t>
  </si>
  <si>
    <t>Tons in process</t>
  </si>
  <si>
    <t>Order Date</t>
  </si>
  <si>
    <t>Fulfillment Date</t>
  </si>
  <si>
    <t>Process Time</t>
  </si>
  <si>
    <t>Payment date</t>
  </si>
  <si>
    <t>Liquidation date</t>
  </si>
  <si>
    <t>Hold Time</t>
  </si>
  <si>
    <t>days</t>
  </si>
  <si>
    <t>STATUS AS OF :</t>
  </si>
  <si>
    <t>OPEN</t>
  </si>
  <si>
    <t>tons</t>
  </si>
  <si>
    <t>Purchase Order #</t>
  </si>
  <si>
    <r>
      <t>Overage/</t>
    </r>
    <r>
      <rPr>
        <sz val="11"/>
        <color indexed="60"/>
        <rFont val="Calibri"/>
        <family val="2"/>
      </rPr>
      <t>(Shortfall)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</si>
</sst>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E+00"/>
    <numFmt numFmtId="167" formatCode="0.0000E+00"/>
    <numFmt numFmtId="168" formatCode="0.000E+00"/>
    <numFmt numFmtId="169" formatCode="0.0E+00"/>
    <numFmt numFmtId="170" formatCode="0E+00"/>
    <numFmt numFmtId="171" formatCode="0.000000E+00"/>
    <numFmt numFmtId="172" formatCode="[$-409]dddd\,\ mmmm\ dd\,\ yyyy"/>
    <numFmt numFmtId="173" formatCode="[$-409]h:mm:ss\ AM/PM"/>
    <numFmt numFmtId="174" formatCode="0.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"/>
    <numFmt numFmtId="185" formatCode="_([$$-409]* #,##0.00_);_([$$-409]* \(#,##0.00\);_([$$-409]* &quot;-&quot;??_);_(@_)"/>
    <numFmt numFmtId="186" formatCode="_([$$-409]* #,##0.0_);_([$$-409]* \(#,##0.0\);_([$$-409]* &quot;-&quot;??_);_(@_)"/>
    <numFmt numFmtId="187" formatCode="_([$$-409]* #,##0_);_([$$-409]* \(#,##0\);_([$$-409]* &quot;-&quot;??_);_(@_)"/>
    <numFmt numFmtId="188" formatCode="0.00_);[Red]\(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24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6"/>
      <name val="Calibri"/>
      <family val="2"/>
    </font>
    <font>
      <sz val="8"/>
      <color indexed="56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Times New Roman"/>
      <family val="1"/>
    </font>
    <font>
      <b/>
      <sz val="16"/>
      <color indexed="36"/>
      <name val="Calibri"/>
      <family val="2"/>
    </font>
    <font>
      <b/>
      <sz val="14"/>
      <color indexed="40"/>
      <name val="Calibri"/>
      <family val="2"/>
    </font>
    <font>
      <u val="single"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60"/>
      <name val="Calibri"/>
      <family val="2"/>
    </font>
    <font>
      <b/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8"/>
      <color rgb="FF00206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theme="1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Times New Roman"/>
      <family val="1"/>
    </font>
    <font>
      <b/>
      <sz val="16"/>
      <color rgb="FF7030A0"/>
      <name val="Calibri"/>
      <family val="2"/>
    </font>
    <font>
      <sz val="11"/>
      <color rgb="FF002060"/>
      <name val="Calibri"/>
      <family val="2"/>
    </font>
    <font>
      <b/>
      <sz val="14"/>
      <color rgb="FF00B0F0"/>
      <name val="Calibri"/>
      <family val="2"/>
    </font>
    <font>
      <u val="single"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2"/>
      <color theme="5"/>
      <name val="Calibri"/>
      <family val="2"/>
    </font>
    <font>
      <b/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rgb="FFC00000"/>
      <name val="Calibri"/>
      <family val="2"/>
    </font>
    <font>
      <b/>
      <u val="single"/>
      <sz val="1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0" borderId="0" xfId="0" applyNumberFormat="1" applyAlignment="1">
      <alignment/>
    </xf>
    <xf numFmtId="0" fontId="16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4" fillId="35" borderId="11" xfId="0" applyNumberFormat="1" applyFont="1" applyFill="1" applyBorder="1" applyAlignment="1">
      <alignment/>
    </xf>
    <xf numFmtId="0" fontId="75" fillId="0" borderId="0" xfId="0" applyFont="1" applyAlignment="1">
      <alignment/>
    </xf>
    <xf numFmtId="164" fontId="7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8" fillId="0" borderId="0" xfId="53" applyAlignment="1" applyProtection="1">
      <alignment horizontal="center"/>
      <protection/>
    </xf>
    <xf numFmtId="1" fontId="68" fillId="0" borderId="0" xfId="53" applyNumberFormat="1" applyAlignment="1" applyProtection="1">
      <alignment horizontal="center"/>
      <protection/>
    </xf>
    <xf numFmtId="0" fontId="77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78" fillId="0" borderId="0" xfId="53" applyFont="1" applyAlignment="1" applyProtection="1">
      <alignment horizontal="center"/>
      <protection/>
    </xf>
    <xf numFmtId="164" fontId="79" fillId="35" borderId="0" xfId="0" applyNumberFormat="1" applyFont="1" applyFill="1" applyAlignment="1">
      <alignment horizontal="center"/>
    </xf>
    <xf numFmtId="164" fontId="79" fillId="0" borderId="0" xfId="0" applyNumberFormat="1" applyFont="1" applyAlignment="1">
      <alignment/>
    </xf>
    <xf numFmtId="164" fontId="79" fillId="34" borderId="0" xfId="0" applyNumberFormat="1" applyFont="1" applyFill="1" applyAlignment="1">
      <alignment horizontal="center"/>
    </xf>
    <xf numFmtId="164" fontId="80" fillId="35" borderId="0" xfId="0" applyNumberFormat="1" applyFont="1" applyFill="1" applyAlignment="1">
      <alignment horizontal="center"/>
    </xf>
    <xf numFmtId="164" fontId="80" fillId="0" borderId="0" xfId="0" applyNumberFormat="1" applyFont="1" applyAlignment="1">
      <alignment horizontal="center"/>
    </xf>
    <xf numFmtId="164" fontId="80" fillId="36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35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0" fontId="5" fillId="35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2" fillId="0" borderId="0" xfId="53" applyFont="1" applyAlignment="1" applyProtection="1">
      <alignment horizontal="center"/>
      <protection/>
    </xf>
    <xf numFmtId="0" fontId="68" fillId="0" borderId="0" xfId="53" applyAlignment="1" applyProtection="1">
      <alignment/>
      <protection/>
    </xf>
    <xf numFmtId="43" fontId="0" fillId="0" borderId="0" xfId="42" applyFont="1" applyAlignment="1">
      <alignment/>
    </xf>
    <xf numFmtId="179" fontId="83" fillId="0" borderId="0" xfId="44" applyNumberFormat="1" applyFont="1" applyFill="1" applyAlignment="1">
      <alignment/>
    </xf>
    <xf numFmtId="164" fontId="76" fillId="37" borderId="0" xfId="0" applyNumberFormat="1" applyFont="1" applyFill="1" applyAlignment="1">
      <alignment/>
    </xf>
    <xf numFmtId="0" fontId="45" fillId="0" borderId="0" xfId="0" applyFont="1" applyAlignment="1" applyProtection="1">
      <alignment/>
      <protection/>
    </xf>
    <xf numFmtId="179" fontId="76" fillId="36" borderId="19" xfId="44" applyNumberFormat="1" applyFont="1" applyFill="1" applyBorder="1" applyAlignment="1">
      <alignment/>
    </xf>
    <xf numFmtId="164" fontId="0" fillId="37" borderId="0" xfId="0" applyNumberFormat="1" applyFill="1" applyAlignment="1" applyProtection="1">
      <alignment/>
      <protection/>
    </xf>
    <xf numFmtId="164" fontId="84" fillId="35" borderId="19" xfId="0" applyNumberFormat="1" applyFont="1" applyFill="1" applyBorder="1" applyAlignment="1" applyProtection="1">
      <alignment/>
      <protection locked="0"/>
    </xf>
    <xf numFmtId="164" fontId="76" fillId="16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 locked="0"/>
    </xf>
    <xf numFmtId="0" fontId="75" fillId="0" borderId="24" xfId="0" applyFont="1" applyBorder="1" applyAlignment="1">
      <alignment/>
    </xf>
    <xf numFmtId="179" fontId="83" fillId="0" borderId="25" xfId="44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27" xfId="0" applyNumberFormat="1" applyBorder="1" applyAlignment="1">
      <alignment/>
    </xf>
    <xf numFmtId="179" fontId="83" fillId="0" borderId="28" xfId="44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79" fontId="83" fillId="13" borderId="28" xfId="44" applyNumberFormat="1" applyFont="1" applyFill="1" applyBorder="1" applyAlignment="1">
      <alignment/>
    </xf>
    <xf numFmtId="0" fontId="0" fillId="13" borderId="29" xfId="0" applyFill="1" applyBorder="1" applyAlignment="1">
      <alignment horizontal="center"/>
    </xf>
    <xf numFmtId="0" fontId="0" fillId="13" borderId="29" xfId="0" applyFill="1" applyBorder="1" applyAlignment="1" applyProtection="1">
      <alignment/>
      <protection/>
    </xf>
    <xf numFmtId="1" fontId="0" fillId="13" borderId="29" xfId="0" applyNumberFormat="1" applyFill="1" applyBorder="1" applyAlignment="1" applyProtection="1">
      <alignment/>
      <protection/>
    </xf>
    <xf numFmtId="164" fontId="0" fillId="13" borderId="29" xfId="0" applyNumberFormat="1" applyFill="1" applyBorder="1" applyAlignment="1" applyProtection="1">
      <alignment/>
      <protection/>
    </xf>
    <xf numFmtId="164" fontId="0" fillId="13" borderId="30" xfId="0" applyNumberFormat="1" applyFill="1" applyBorder="1" applyAlignment="1" applyProtection="1">
      <alignment/>
      <protection/>
    </xf>
    <xf numFmtId="0" fontId="83" fillId="13" borderId="31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2" xfId="0" applyFill="1" applyBorder="1" applyAlignment="1" applyProtection="1">
      <alignment/>
      <protection/>
    </xf>
    <xf numFmtId="1" fontId="0" fillId="13" borderId="32" xfId="0" applyNumberFormat="1" applyFill="1" applyBorder="1" applyAlignment="1" applyProtection="1">
      <alignment/>
      <protection/>
    </xf>
    <xf numFmtId="164" fontId="0" fillId="13" borderId="32" xfId="0" applyNumberFormat="1" applyFill="1" applyBorder="1" applyAlignment="1" applyProtection="1">
      <alignment/>
      <protection/>
    </xf>
    <xf numFmtId="164" fontId="0" fillId="13" borderId="33" xfId="0" applyNumberFormat="1" applyFill="1" applyBorder="1" applyAlignment="1" applyProtection="1">
      <alignment/>
      <protection/>
    </xf>
    <xf numFmtId="0" fontId="84" fillId="36" borderId="34" xfId="0" applyFont="1" applyFill="1" applyBorder="1" applyAlignment="1" applyProtection="1">
      <alignment/>
      <protection/>
    </xf>
    <xf numFmtId="0" fontId="8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/>
      <protection/>
    </xf>
    <xf numFmtId="0" fontId="84" fillId="36" borderId="35" xfId="0" applyFont="1" applyFill="1" applyBorder="1" applyAlignment="1" applyProtection="1">
      <alignment/>
      <protection/>
    </xf>
    <xf numFmtId="164" fontId="0" fillId="0" borderId="32" xfId="0" applyNumberForma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177" fontId="84" fillId="35" borderId="36" xfId="42" applyNumberFormat="1" applyFont="1" applyFill="1" applyBorder="1" applyAlignment="1" applyProtection="1">
      <alignment/>
      <protection locked="0"/>
    </xf>
    <xf numFmtId="0" fontId="8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8" xfId="0" applyNumberFormat="1" applyBorder="1" applyAlignment="1" applyProtection="1">
      <alignment/>
      <protection/>
    </xf>
    <xf numFmtId="164" fontId="0" fillId="0" borderId="39" xfId="0" applyNumberFormat="1" applyBorder="1" applyAlignment="1" applyProtection="1">
      <alignment/>
      <protection/>
    </xf>
    <xf numFmtId="177" fontId="84" fillId="35" borderId="40" xfId="42" applyNumberFormat="1" applyFont="1" applyFill="1" applyBorder="1" applyAlignment="1" applyProtection="1">
      <alignment/>
      <protection locked="0"/>
    </xf>
    <xf numFmtId="0" fontId="75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64" fontId="0" fillId="36" borderId="0" xfId="0" applyNumberFormat="1" applyFill="1" applyAlignment="1">
      <alignment horizontal="center"/>
    </xf>
    <xf numFmtId="1" fontId="78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2" fontId="85" fillId="0" borderId="0" xfId="53" applyNumberFormat="1" applyFont="1" applyAlignment="1" applyProtection="1">
      <alignment horizontal="left" indent="1"/>
      <protection/>
    </xf>
    <xf numFmtId="1" fontId="83" fillId="35" borderId="11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6" fillId="0" borderId="0" xfId="53" applyFont="1" applyAlignment="1" applyProtection="1">
      <alignment horizontal="center"/>
      <protection/>
    </xf>
    <xf numFmtId="0" fontId="87" fillId="0" borderId="0" xfId="53" applyFont="1" applyAlignment="1" applyProtection="1">
      <alignment horizontal="center"/>
      <protection/>
    </xf>
    <xf numFmtId="164" fontId="80" fillId="36" borderId="0" xfId="0" applyNumberFormat="1" applyFont="1" applyFill="1" applyAlignment="1">
      <alignment horizontal="center"/>
    </xf>
    <xf numFmtId="0" fontId="82" fillId="0" borderId="0" xfId="53" applyFont="1" applyFill="1" applyAlignment="1" applyProtection="1">
      <alignment horizontal="center"/>
      <protection/>
    </xf>
    <xf numFmtId="164" fontId="0" fillId="13" borderId="0" xfId="0" applyNumberFormat="1" applyFill="1" applyBorder="1" applyAlignment="1" applyProtection="1">
      <alignment/>
      <protection/>
    </xf>
    <xf numFmtId="164" fontId="84" fillId="36" borderId="19" xfId="0" applyNumberFormat="1" applyFont="1" applyFill="1" applyBorder="1" applyAlignment="1" applyProtection="1">
      <alignment/>
      <protection/>
    </xf>
    <xf numFmtId="0" fontId="88" fillId="0" borderId="0" xfId="0" applyFont="1" applyAlignment="1">
      <alignment/>
    </xf>
    <xf numFmtId="0" fontId="19" fillId="38" borderId="41" xfId="0" applyFont="1" applyFill="1" applyBorder="1" applyAlignment="1">
      <alignment horizontal="center"/>
    </xf>
    <xf numFmtId="0" fontId="19" fillId="38" borderId="42" xfId="0" applyFont="1" applyFill="1" applyBorder="1" applyAlignment="1">
      <alignment horizontal="center"/>
    </xf>
    <xf numFmtId="0" fontId="20" fillId="38" borderId="42" xfId="0" applyFont="1" applyFill="1" applyBorder="1" applyAlignment="1">
      <alignment horizontal="center"/>
    </xf>
    <xf numFmtId="0" fontId="0" fillId="38" borderId="40" xfId="0" applyFill="1" applyBorder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23" fillId="38" borderId="42" xfId="0" applyFont="1" applyFill="1" applyBorder="1" applyAlignment="1">
      <alignment horizontal="center"/>
    </xf>
    <xf numFmtId="0" fontId="75" fillId="0" borderId="0" xfId="53" applyFont="1" applyAlignment="1" applyProtection="1">
      <alignment horizontal="center"/>
      <protection/>
    </xf>
    <xf numFmtId="14" fontId="90" fillId="0" borderId="0" xfId="0" applyNumberFormat="1" applyFont="1" applyAlignment="1">
      <alignment/>
    </xf>
    <xf numFmtId="0" fontId="4" fillId="39" borderId="17" xfId="0" applyFont="1" applyFill="1" applyBorder="1" applyAlignment="1">
      <alignment horizontal="center"/>
    </xf>
    <xf numFmtId="165" fontId="0" fillId="0" borderId="0" xfId="44" applyNumberFormat="1" applyFont="1" applyAlignment="1">
      <alignment/>
    </xf>
    <xf numFmtId="164" fontId="91" fillId="0" borderId="0" xfId="0" applyNumberFormat="1" applyFont="1" applyAlignment="1">
      <alignment/>
    </xf>
    <xf numFmtId="164" fontId="91" fillId="39" borderId="17" xfId="0" applyNumberFormat="1" applyFont="1" applyFill="1" applyBorder="1" applyAlignment="1">
      <alignment/>
    </xf>
    <xf numFmtId="0" fontId="92" fillId="0" borderId="0" xfId="53" applyFont="1" applyAlignment="1" applyProtection="1">
      <alignment horizontal="center"/>
      <protection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8" fontId="79" fillId="0" borderId="0" xfId="0" applyNumberFormat="1" applyFont="1" applyAlignment="1">
      <alignment/>
    </xf>
    <xf numFmtId="0" fontId="22" fillId="15" borderId="0" xfId="0" applyFont="1" applyFill="1" applyAlignment="1">
      <alignment/>
    </xf>
    <xf numFmtId="0" fontId="79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1" fontId="0" fillId="15" borderId="0" xfId="0" applyNumberFormat="1" applyFill="1" applyAlignment="1">
      <alignment horizontal="center"/>
    </xf>
    <xf numFmtId="0" fontId="4" fillId="0" borderId="0" xfId="0" applyFont="1" applyAlignment="1">
      <alignment/>
    </xf>
    <xf numFmtId="165" fontId="74" fillId="0" borderId="0" xfId="0" applyNumberFormat="1" applyFont="1" applyAlignment="1">
      <alignment horizontal="center"/>
    </xf>
    <xf numFmtId="0" fontId="93" fillId="0" borderId="0" xfId="0" applyFont="1" applyAlignment="1">
      <alignment/>
    </xf>
    <xf numFmtId="22" fontId="94" fillId="0" borderId="0" xfId="0" applyNumberFormat="1" applyFont="1" applyAlignment="1">
      <alignment/>
    </xf>
    <xf numFmtId="0" fontId="95" fillId="0" borderId="0" xfId="53" applyFont="1" applyAlignment="1" applyProtection="1">
      <alignment horizontal="center"/>
      <protection/>
    </xf>
    <xf numFmtId="1" fontId="68" fillId="15" borderId="0" xfId="53" applyNumberFormat="1" applyFill="1" applyAlignment="1" applyProtection="1">
      <alignment horizontal="center"/>
      <protection/>
    </xf>
    <xf numFmtId="1" fontId="68" fillId="0" borderId="0" xfId="53" applyNumberFormat="1" applyFill="1" applyAlignment="1" applyProtection="1">
      <alignment horizontal="center"/>
      <protection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80" fillId="0" borderId="0" xfId="0" applyNumberFormat="1" applyFont="1" applyAlignment="1">
      <alignment horizontal="center"/>
    </xf>
    <xf numFmtId="188" fontId="74" fillId="0" borderId="0" xfId="0" applyNumberFormat="1" applyFont="1" applyAlignment="1">
      <alignment horizontal="center"/>
    </xf>
    <xf numFmtId="0" fontId="93" fillId="0" borderId="10" xfId="0" applyFont="1" applyBorder="1" applyAlignment="1">
      <alignment/>
    </xf>
    <xf numFmtId="0" fontId="93" fillId="0" borderId="11" xfId="0" applyFont="1" applyBorder="1" applyAlignment="1">
      <alignment/>
    </xf>
    <xf numFmtId="0" fontId="98" fillId="0" borderId="11" xfId="53" applyFont="1" applyBorder="1" applyAlignment="1" applyProtection="1">
      <alignment horizontal="center"/>
      <protection/>
    </xf>
    <xf numFmtId="0" fontId="93" fillId="15" borderId="11" xfId="0" applyFont="1" applyFill="1" applyBorder="1" applyAlignment="1">
      <alignment horizontal="center"/>
    </xf>
    <xf numFmtId="0" fontId="98" fillId="0" borderId="12" xfId="53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22</xdr:row>
      <xdr:rowOff>0</xdr:rowOff>
    </xdr:from>
    <xdr:to>
      <xdr:col>12</xdr:col>
      <xdr:colOff>685800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4752975"/>
          <a:ext cx="68580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recycling.com/retramar/1078%20FAITH%20GROUP%20COMPANY.pdf" TargetMode="External" /><Relationship Id="rId2" Type="http://schemas.openxmlformats.org/officeDocument/2006/relationships/hyperlink" Target="http://www.prrecycling.com/retramar/1080%20FAITH%20GROUP%20COMPANY.pdf" TargetMode="External" /><Relationship Id="rId3" Type="http://schemas.openxmlformats.org/officeDocument/2006/relationships/hyperlink" Target="http://www.prrecycling.com/retramar/1079%20FAITH%20GROUP%20COMPANY.pdf" TargetMode="External" /><Relationship Id="rId4" Type="http://schemas.openxmlformats.org/officeDocument/2006/relationships/hyperlink" Target="http://www.prrecycling.com/retramar/1081%20FAITH%20GROUP%20COMPANY.pdf" TargetMode="External" /><Relationship Id="rId5" Type="http://schemas.openxmlformats.org/officeDocument/2006/relationships/hyperlink" Target="http://www.prrecycling.com/retramar/1082%20FAITH%20GROUP%20COMPANY-UESU-508346-0.pdf" TargetMode="External" /><Relationship Id="rId6" Type="http://schemas.openxmlformats.org/officeDocument/2006/relationships/hyperlink" Target="http://www.prrecycling.com/retramar/1083%20FAITH%20GROUP%20COMPANY.pdf" TargetMode="External" /><Relationship Id="rId7" Type="http://schemas.openxmlformats.org/officeDocument/2006/relationships/hyperlink" Target="http://www.prrecycling.com/retramar/GVCU-501582-3/1084%20FAITH%20GROUP%20COMPANY-GVCU-501582-3.pdf" TargetMode="External" /><Relationship Id="rId8" Type="http://schemas.openxmlformats.org/officeDocument/2006/relationships/hyperlink" Target="http://www.prrecycling.com/retramar/1085%20FAITH%20GROUP%20COMPANY-%20FSCU%20952418-4.pdf" TargetMode="External" /><Relationship Id="rId9" Type="http://schemas.openxmlformats.org/officeDocument/2006/relationships/hyperlink" Target="http://www.prrecycling.com/retramar/EMCU961101-3/1086%20FAITH%20GROUP%20COMPANY%20-%20EMCU%20961101-3.pdf" TargetMode="External" /><Relationship Id="rId10" Type="http://schemas.openxmlformats.org/officeDocument/2006/relationships/hyperlink" Target="http://www.prrecycling.com/retramar/EMCU%20965191-0/20090819131704526.pdf" TargetMode="External" /><Relationship Id="rId11" Type="http://schemas.openxmlformats.org/officeDocument/2006/relationships/hyperlink" Target="http://www.prrecycling.com/retramar/EMCU%20965191-0/escanear0033.jpg" TargetMode="External" /><Relationship Id="rId12" Type="http://schemas.openxmlformats.org/officeDocument/2006/relationships/hyperlink" Target="http://www.prrecycling.com/retramar/UESU-508346-0/img005.jpg" TargetMode="External" /><Relationship Id="rId13" Type="http://schemas.openxmlformats.org/officeDocument/2006/relationships/hyperlink" Target="http://www.prrecycling.com/retramar/BLMSCUCG068558%20(2).pdf" TargetMode="External" /><Relationship Id="rId14" Type="http://schemas.openxmlformats.org/officeDocument/2006/relationships/hyperlink" Target="http://www.prrecycling.com/retramar/20090903121059762.pdf" TargetMode="External" /><Relationship Id="rId15" Type="http://schemas.openxmlformats.org/officeDocument/2006/relationships/hyperlink" Target="http://www.prrecycling.com/retramar/20090827145903620%20(2).pdf" TargetMode="External" /><Relationship Id="rId16" Type="http://schemas.openxmlformats.org/officeDocument/2006/relationships/hyperlink" Target="http://www.prrecycling.com/retramar/20090827145903620%20(2).pdf" TargetMode="External" /><Relationship Id="rId17" Type="http://schemas.openxmlformats.org/officeDocument/2006/relationships/hyperlink" Target="http://www.prrecycling.com/retramar/FCIU211417-3/escanear0041.jpg" TargetMode="External" /><Relationship Id="rId18" Type="http://schemas.openxmlformats.org/officeDocument/2006/relationships/hyperlink" Target="http://www.prrecycling.com/retramar/MSCU%20472236-9/Peso%20Container%20MSCU%20472236-9.jpg" TargetMode="External" /><Relationship Id="rId19" Type="http://schemas.openxmlformats.org/officeDocument/2006/relationships/hyperlink" Target="http://www.prrecycling.com/retramar/INKU-223757-0/img003.jpg" TargetMode="External" /><Relationship Id="rId20" Type="http://schemas.openxmlformats.org/officeDocument/2006/relationships/hyperlink" Target="http://www.prrecycling.com/retramar/GVCU%20525940-8/escanear0044.jpg" TargetMode="External" /><Relationship Id="rId21" Type="http://schemas.openxmlformats.org/officeDocument/2006/relationships/hyperlink" Target="http://www.prrecycling.com/retramar/UESU-508346-0/20090902143423522.pdf" TargetMode="External" /><Relationship Id="rId22" Type="http://schemas.openxmlformats.org/officeDocument/2006/relationships/hyperlink" Target="http://www.prrecycling.com/retramar/GVCU-501582-3/20090902092312537.pdf" TargetMode="External" /><Relationship Id="rId23" Type="http://schemas.openxmlformats.org/officeDocument/2006/relationships/hyperlink" Target="http://www.prrecycling.com/retramar/FSCU-952418-4/20090909102950323%20(2).pdf" TargetMode="External" /><Relationship Id="rId24" Type="http://schemas.openxmlformats.org/officeDocument/2006/relationships/hyperlink" Target="http://www.prrecycling.com/retramar/FSCU-952418-4/foto%20scanner.jpg" TargetMode="External" /><Relationship Id="rId25" Type="http://schemas.openxmlformats.org/officeDocument/2006/relationships/hyperlink" Target="http://www.prrecycling.com/retramar/GVCU-501582-3/escanear0008.jpg" TargetMode="External" /><Relationship Id="rId26" Type="http://schemas.openxmlformats.org/officeDocument/2006/relationships/hyperlink" Target="http://www.prrecycling.com/retramar/EMCU961101-3/scan.jpg" TargetMode="External" /><Relationship Id="rId27" Type="http://schemas.openxmlformats.org/officeDocument/2006/relationships/hyperlink" Target="http://www.prrecycling.com/retramar/EMCU961101-3/20090925085918766%20(2).pdf" TargetMode="External" /><Relationship Id="rId28" Type="http://schemas.openxmlformats.org/officeDocument/2006/relationships/hyperlink" Target="http://www.prrecycling.com/retramar/fscu900745-3/Tiquete%20de%20Peso.jpg" TargetMode="External" /><Relationship Id="rId29" Type="http://schemas.openxmlformats.org/officeDocument/2006/relationships/hyperlink" Target="http://www.prrecycling.com/retramar/fscu900745-3/20090930142849093.pdf" TargetMode="External" /><Relationship Id="rId30" Type="http://schemas.openxmlformats.org/officeDocument/2006/relationships/hyperlink" Target="http://www.prrecycling.com/retramar/1101%20FAITH%20GROUP%20COMPANY%20-%20FSCU%20900745-3.pdf" TargetMode="External" /><Relationship Id="rId31" Type="http://schemas.openxmlformats.org/officeDocument/2006/relationships/hyperlink" Target="http://www.prrecycling.com/retramar/1100%20FAITH%20GROUP%20COMPANY%20-%20TGHU801872-3.pdf" TargetMode="External" /><Relationship Id="rId32" Type="http://schemas.openxmlformats.org/officeDocument/2006/relationships/hyperlink" Target="http://www.prrecycling.com/retramar/TGHU%20801872-3/PESA.jpg" TargetMode="External" /><Relationship Id="rId33" Type="http://schemas.openxmlformats.org/officeDocument/2006/relationships/hyperlink" Target="http://www.prrecycling.com/retramar/CRXU975046-8/escanear0004.jpg" TargetMode="External" /><Relationship Id="rId34" Type="http://schemas.openxmlformats.org/officeDocument/2006/relationships/hyperlink" Target="http://www.prrecycling.com/retramar/1103%20FAITH%20GROUP%20COMPANY%20-%20CRXU975046-8.pdf" TargetMode="External" /><Relationship Id="rId35" Type="http://schemas.openxmlformats.org/officeDocument/2006/relationships/hyperlink" Target="http://www.prrecycling.com/retramar/MSCU910497-5/Weight%20Ticket.jpg" TargetMode="External" /><Relationship Id="rId36" Type="http://schemas.openxmlformats.org/officeDocument/2006/relationships/hyperlink" Target="http://www.prrecycling.com/retramar/MSCU910497-5/BLMSCUCG072832.pdf" TargetMode="External" /><Relationship Id="rId37" Type="http://schemas.openxmlformats.org/officeDocument/2006/relationships/hyperlink" Target="http://www.prrecycling.com/retramar/1108%20FAITH%20GROUP%20COMPANY%20-%20MSCU910497-5.pdf" TargetMode="External" /><Relationship Id="rId38" Type="http://schemas.openxmlformats.org/officeDocument/2006/relationships/hyperlink" Target="http://www.prrecycling.com/retramar/FSCU%20687905-1/scan%20tiquete%20de%20peso%20chino%20leon.JPG" TargetMode="External" /><Relationship Id="rId39" Type="http://schemas.openxmlformats.org/officeDocument/2006/relationships/hyperlink" Target="http://www.prrecycling.com/retramar/1102%20FAITH%20GROUP%20COMPANY%20-%20FSCU%20687905-1.pdf" TargetMode="External" /><Relationship Id="rId40" Type="http://schemas.openxmlformats.org/officeDocument/2006/relationships/hyperlink" Target="http://www.prrecycling.com/retramar/MSCU754897-0/Weight%20Ticket038.jpg" TargetMode="External" /><Relationship Id="rId41" Type="http://schemas.openxmlformats.org/officeDocument/2006/relationships/hyperlink" Target="http://www.prrecycling.com/retramar/1109%20FAITH%20GROUP%20COMPANY%20-%20MSCU754897-0.pdf" TargetMode="External" /><Relationship Id="rId42" Type="http://schemas.openxmlformats.org/officeDocument/2006/relationships/hyperlink" Target="http://www.prrecycling.com/retramar/MSCU754897-0/PICS%20STEEL%20SCRAP.doc" TargetMode="External" /><Relationship Id="rId43" Type="http://schemas.openxmlformats.org/officeDocument/2006/relationships/hyperlink" Target="http://www.prrecycling.com/retramar/FSCU%20687905-1/BL%20Wk43.pdf" TargetMode="External" /><Relationship Id="rId44" Type="http://schemas.openxmlformats.org/officeDocument/2006/relationships/hyperlink" Target="http://www.prrecycling.com/retramar/MSCU754897-0/BLMSCUCG072782-%20MSC%203%20CONTAINERS.pdf" TargetMode="External" /><Relationship Id="rId45" Type="http://schemas.openxmlformats.org/officeDocument/2006/relationships/hyperlink" Target="http://www.prrecycling.com/retramar/MSCU754897-0/BLMSCUCG072782-%20MSC%203%20CONTAINERS.pdf" TargetMode="External" /><Relationship Id="rId46" Type="http://schemas.openxmlformats.org/officeDocument/2006/relationships/hyperlink" Target="http://www.prrecycling.com/retramar/MSCU754897-0/BLMSCUCG072782-%20MSC%203%20CONTAINERS.pdf" TargetMode="External" /><Relationship Id="rId47" Type="http://schemas.openxmlformats.org/officeDocument/2006/relationships/hyperlink" Target="http://www.prrecycling.com/retramar/1111%20FAITH%20GROUP%20COMPANY%20-%20FBLU903104-7.pdf" TargetMode="External" /><Relationship Id="rId48" Type="http://schemas.openxmlformats.org/officeDocument/2006/relationships/hyperlink" Target="http://www.prrecycling.com/retramar/1114%20FAITH%20GROUP%20COMPANY%20-%20MSCU%20714705-2.pdf" TargetMode="External" /><Relationship Id="rId49" Type="http://schemas.openxmlformats.org/officeDocument/2006/relationships/hyperlink" Target="http://www.prrecycling.com/retramar/FBLU%20903104-7/1%20001.jpg" TargetMode="External" /><Relationship Id="rId50" Type="http://schemas.openxmlformats.org/officeDocument/2006/relationships/hyperlink" Target="http://www.prrecycling.com/retramar/photogallery/photo00000041/real.htm" TargetMode="External" /><Relationship Id="rId51" Type="http://schemas.openxmlformats.org/officeDocument/2006/relationships/hyperlink" Target="http://www.prrecycling.com/retramar/MSCU%20714705-2/Peso048.jpg" TargetMode="External" /><Relationship Id="rId52" Type="http://schemas.openxmlformats.org/officeDocument/2006/relationships/hyperlink" Target="http://www.prrecycling.com/retramar/photogallery/photo00025279/real.htm" TargetMode="External" /><Relationship Id="rId53" Type="http://schemas.openxmlformats.org/officeDocument/2006/relationships/hyperlink" Target="http://www.prrecycling.com/retramar/photogallery/photo00032318/real.htm" TargetMode="External" /><Relationship Id="rId54" Type="http://schemas.openxmlformats.org/officeDocument/2006/relationships/hyperlink" Target="http://www.prrecycling.com/retramar/photogallery/photo00031736/real.htm" TargetMode="External" /><Relationship Id="rId55" Type="http://schemas.openxmlformats.org/officeDocument/2006/relationships/hyperlink" Target="http://www.prrecycling.com/retramar/photogallery/photo00002629/real.htm" TargetMode="External" /><Relationship Id="rId56" Type="http://schemas.openxmlformats.org/officeDocument/2006/relationships/hyperlink" Target="http://www.prrecycling.com/retramar/CRXU975046-8/BLMSCUCG072022%20(6).pdf" TargetMode="External" /><Relationship Id="rId57" Type="http://schemas.openxmlformats.org/officeDocument/2006/relationships/hyperlink" Target="http://www.prrecycling.com/retramar/photogallery/photo00009909/real.htm" TargetMode="External" /><Relationship Id="rId58" Type="http://schemas.openxmlformats.org/officeDocument/2006/relationships/hyperlink" Target="http://www.prrecycling.com/retramar/photogallery/photo00017022/real.htm" TargetMode="External" /><Relationship Id="rId59" Type="http://schemas.openxmlformats.org/officeDocument/2006/relationships/hyperlink" Target="http://www.prrecycling.com/retramar/MSCU%20714705-2/BL%20MSCUCG073830.jpg" TargetMode="External" /><Relationship Id="rId60" Type="http://schemas.openxmlformats.org/officeDocument/2006/relationships/hyperlink" Target="http://www.prrecycling.com/retramar/1122%20FAITH%20GROUP%20COMPANY%20-%204%20CONTAINERS%20APL.pdf" TargetMode="External" /><Relationship Id="rId61" Type="http://schemas.openxmlformats.org/officeDocument/2006/relationships/hyperlink" Target="http://www.prrecycling.com/retramar/1123%20FAITH%20GROUP%20COMPANY%20-%204%20CONTAINERS%20MSC.pdf" TargetMode="External" /><Relationship Id="rId62" Type="http://schemas.openxmlformats.org/officeDocument/2006/relationships/hyperlink" Target="http://www.prrecycling.com/retramar/BL%20MSCUCG079341.JPG" TargetMode="External" /><Relationship Id="rId63" Type="http://schemas.openxmlformats.org/officeDocument/2006/relationships/hyperlink" Target="http://www.prrecycling.com/retramar/APHU695886-2/tiquete%20de%20peso%20APHU%20695886-2.jpg" TargetMode="External" /><Relationship Id="rId64" Type="http://schemas.openxmlformats.org/officeDocument/2006/relationships/hyperlink" Target="http://www.prrecycling.com/retramar/APHU698181-5/Boleta%20de%20peso.jpg" TargetMode="External" /><Relationship Id="rId65" Type="http://schemas.openxmlformats.org/officeDocument/2006/relationships/hyperlink" Target="http://www.prrecycling.com/retramar/GESU484679-5/tiquete%20de%20peso%20GESU%20484679-5.jpg" TargetMode="External" /><Relationship Id="rId66" Type="http://schemas.openxmlformats.org/officeDocument/2006/relationships/hyperlink" Target="http://www.prrecycling.com/retramar/GESU563032-6/Boleta%20de%20peso.jpg" TargetMode="External" /><Relationship Id="rId67" Type="http://schemas.openxmlformats.org/officeDocument/2006/relationships/hyperlink" Target="http://www.prrecycling.com/retramar/CAXU979569-0/img111.jpg" TargetMode="External" /><Relationship Id="rId68" Type="http://schemas.openxmlformats.org/officeDocument/2006/relationships/hyperlink" Target="http://www.prrecycling.com/retramar/MSCU911863-9/img110.jpg" TargetMode="External" /><Relationship Id="rId69" Type="http://schemas.openxmlformats.org/officeDocument/2006/relationships/hyperlink" Target="http://www.prrecycling.com/retramar/CLHU807399-9/tiquete%20de%20peso%20CLHU%20807399-9.jpg" TargetMode="External" /><Relationship Id="rId70" Type="http://schemas.openxmlformats.org/officeDocument/2006/relationships/hyperlink" Target="http://www.prrecycling.com/retramar/TTNU989515-8/tiquete%20de%20peso%20TTNU%20989515-8.jpg" TargetMode="External" /><Relationship Id="rId71" Type="http://schemas.openxmlformats.org/officeDocument/2006/relationships/hyperlink" Target="../../../Documents%20and%20Settings/nicholas%20apostol/My%20Documents/1127%20FAITH%20GROUP%20COMPANY%20-%201%20CONTAINERS%20APL.pdf" TargetMode="External" /><Relationship Id="rId72" Type="http://schemas.openxmlformats.org/officeDocument/2006/relationships/hyperlink" Target="TRLU581890-2\Boleta%20de%20peso%20TRLU521890-2.jpg" TargetMode="External" /><Relationship Id="rId73" Type="http://schemas.openxmlformats.org/officeDocument/2006/relationships/hyperlink" Target="APHU698181-5\PHOTOSAPHU698181-5.htm" TargetMode="External" /><Relationship Id="rId74" Type="http://schemas.openxmlformats.org/officeDocument/2006/relationships/hyperlink" Target="PO%20090807%20FOB%20LIMON%20150MT.pdf" TargetMode="External" /><Relationship Id="rId75" Type="http://schemas.openxmlformats.org/officeDocument/2006/relationships/hyperlink" Target="PO%20090815%20FOB%20CALDERA.pdf" TargetMode="External" /><Relationship Id="rId76" Type="http://schemas.openxmlformats.org/officeDocument/2006/relationships/hyperlink" Target="PO%20090919.pdf" TargetMode="External" /><Relationship Id="rId77" Type="http://schemas.openxmlformats.org/officeDocument/2006/relationships/hyperlink" Target="PO%20091115.pdf" TargetMode="External" /><Relationship Id="rId78" Type="http://schemas.openxmlformats.org/officeDocument/2006/relationships/hyperlink" Target="20091113101233905.pdf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recycling.com/My%20Websites%20-%20M-A-K.net/PRRecycling.com/retramar/TGHU%20801872-3/1100%20FAITH%20GROUP%20COMPANY%20-%20TGHU801872-3.pdf" TargetMode="External" /><Relationship Id="rId2" Type="http://schemas.openxmlformats.org/officeDocument/2006/relationships/hyperlink" Target="http://www.prrecycling.com/My%20Websites%20-%20M-A-K.net/PRRecycling.com/retramar/fscu900745-3/1101%20FAITH%20GROUP%20COMPANY%20-%20FSCU%20900745-3.pdf" TargetMode="External" /><Relationship Id="rId3" Type="http://schemas.openxmlformats.org/officeDocument/2006/relationships/hyperlink" Target="http://www.prrecycling.com/My%20Websites%20-%20M-A-K.net/PRRecycling.com/retramar/EMCU961101-3/1086%20FAITH%20GROUP%20COMPANY%20-%20EMCU%20961101-3.pdf" TargetMode="External" /><Relationship Id="rId4" Type="http://schemas.openxmlformats.org/officeDocument/2006/relationships/hyperlink" Target="http://www.prrecycling.com/My%20Websites%20-%20M-A-K.net/PRRecycling.com/retramar/GVCU%20525940-8/1083%20FAITH%20GROUP%20COMPANY.pdf" TargetMode="External" /><Relationship Id="rId5" Type="http://schemas.openxmlformats.org/officeDocument/2006/relationships/hyperlink" Target="http://www.prrecycling.com/My%20Websites%20-%20M-A-K.net/PRRecycling.com/retramar/GVCU-501582-3/1084%20FAITH%20GROUP%20COMPANY-GVCU-501582-3.pdf" TargetMode="External" /><Relationship Id="rId6" Type="http://schemas.openxmlformats.org/officeDocument/2006/relationships/hyperlink" Target="http://www.prrecycling.com/My%20Websites%20-%20M-A-K.net/PRRecycling.com/retramar/FSCU-952418-4/1085%20FAITH%20GROUP%20COMPANY-%20FSCU%20952418-4.pdf" TargetMode="External" /><Relationship Id="rId7" Type="http://schemas.openxmlformats.org/officeDocument/2006/relationships/hyperlink" Target="http://www.prrecycling.com/My%20Websites%20-%20M-A-K.net/PRRecycling.com/retramar/UESU-508346-0/1082%20FAITH%20GROUP%20COMPANY-UESU-508346-0.pdf" TargetMode="External" /><Relationship Id="rId8" Type="http://schemas.openxmlformats.org/officeDocument/2006/relationships/hyperlink" Target="http://www.prrecycling.com/My%20Websites%20-%20M-A-K.net/PRRecycling.com/retramar/MSCU%20472236-9/1079%20FAITH%20GROUP%20COMPANY.pdf" TargetMode="External" /><Relationship Id="rId9" Type="http://schemas.openxmlformats.org/officeDocument/2006/relationships/hyperlink" Target="http://www.prrecycling.com/My%20Websites%20-%20M-A-K.net/PRRecycling.com/retramar/EMCU%20965191-0/1078%20FAITH%20GROUP%20COMPANY.pdf" TargetMode="External" /><Relationship Id="rId10" Type="http://schemas.openxmlformats.org/officeDocument/2006/relationships/hyperlink" Target="http://www.prrecycling.com/My%20Websites%20-%20M-A-K.net/PRRecycling.com/retramar/1080%20FAITH%20GROUP%20COMPANY.pdf" TargetMode="External" /><Relationship Id="rId11" Type="http://schemas.openxmlformats.org/officeDocument/2006/relationships/hyperlink" Target="http://www.prrecycling.com/My%20Websites%20-%20M-A-K.net/PRRecycling.com/retramar/INKU-223757-0/1081%20FAITH%20GROUP%20COMPANY.pdf" TargetMode="External" /><Relationship Id="rId12" Type="http://schemas.openxmlformats.org/officeDocument/2006/relationships/hyperlink" Target="http://www.prrecycling.com/retramar/CRXU975046-8/1103%20FAITH%20GROUP%20COMPANY%20-%20CRXU975046-8.pdf" TargetMode="External" /><Relationship Id="rId13" Type="http://schemas.openxmlformats.org/officeDocument/2006/relationships/hyperlink" Target="http://www.prrecycling.com/retramar/MSCU754897-0/1109%20FAITH%20GROUP%20COMPANY%20-%20MSCU754897-0.pdf" TargetMode="External" /><Relationship Id="rId14" Type="http://schemas.openxmlformats.org/officeDocument/2006/relationships/hyperlink" Target="http://www.prrecycling.com/retramar/FSCU%20687905-1/1102%20FAITH%20GROUP%20COMPANY%20-%20FSCU%20687905-1.pdf" TargetMode="External" /><Relationship Id="rId15" Type="http://schemas.openxmlformats.org/officeDocument/2006/relationships/hyperlink" Target="http://www.prrecycling.com/retramar/MSCU910497-5/1108%20FAITH%20GROUP%20COMPANY%20-%20MSCU910497-5.pdf" TargetMode="External" /><Relationship Id="rId16" Type="http://schemas.openxmlformats.org/officeDocument/2006/relationships/hyperlink" Target="http://www.prrecycling.com/retramar/FBLU%20903104-7/1111%20FAITH%20GROUP%20COMPANY%20-%20FBLU903104-7.pdf" TargetMode="External" /><Relationship Id="rId17" Type="http://schemas.openxmlformats.org/officeDocument/2006/relationships/hyperlink" Target="http://www.prrecycling.com/retramar/MSCU%20714705-2/1114%20FAITH%20GROUP%20COMPANY%20-%20MSCU%20714705-2.pdf" TargetMode="External" /><Relationship Id="rId18" Type="http://schemas.openxmlformats.org/officeDocument/2006/relationships/hyperlink" Target="http://www.prrecycling.com/retramar/1118%20FAITH%20GROUP%20COMPANY%20-%2010%20CONTAINERS.pdf" TargetMode="External" /><Relationship Id="rId19" Type="http://schemas.openxmlformats.org/officeDocument/2006/relationships/hyperlink" Target="http://www.prrecycling.com/retramar/1122%20FAITH%20GROUP%20COMPANY%20-%204%20CONTAINERS%20APL.pdf" TargetMode="External" /><Relationship Id="rId20" Type="http://schemas.openxmlformats.org/officeDocument/2006/relationships/hyperlink" Target="http://www.prrecycling.com/retramar/1123%20FAITH%20GROUP%20COMPANY%20-%204%20CONTAINERS%20MSC.pdf" TargetMode="External" /><Relationship Id="rId21" Type="http://schemas.openxmlformats.org/officeDocument/2006/relationships/hyperlink" Target="1127%20FAITH%20GROUP%20COMPANY%20-%201%20CONTAINERS%20APL.pdf" TargetMode="External" /><Relationship Id="rId22" Type="http://schemas.openxmlformats.org/officeDocument/2006/relationships/hyperlink" Target="1126%20FAITH%20GROUP%20COMPANY%20-%20CAMBIOS%20EN%20BL's.pdf" TargetMode="External" /><Relationship Id="rId23" Type="http://schemas.openxmlformats.org/officeDocument/2006/relationships/hyperlink" Target="1121%20FAITH%20GROUP.pdf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31">
      <selection activeCell="M54" sqref="M54"/>
    </sheetView>
  </sheetViews>
  <sheetFormatPr defaultColWidth="9.140625" defaultRowHeight="15"/>
  <cols>
    <col min="1" max="1" width="6.421875" style="0" customWidth="1"/>
    <col min="2" max="2" width="10.57421875" style="0" customWidth="1"/>
    <col min="3" max="3" width="11.7109375" style="0" customWidth="1"/>
    <col min="4" max="4" width="19.00390625" style="0" customWidth="1"/>
    <col min="5" max="5" width="5.28125" style="0" customWidth="1"/>
    <col min="6" max="6" width="10.28125" style="0" bestFit="1" customWidth="1"/>
    <col min="7" max="7" width="10.421875" style="0" customWidth="1"/>
    <col min="8" max="8" width="8.57421875" style="0" customWidth="1"/>
    <col min="9" max="9" width="13.00390625" style="0" customWidth="1"/>
    <col min="10" max="10" width="19.7109375" style="0" customWidth="1"/>
    <col min="11" max="11" width="15.140625" style="0" customWidth="1"/>
    <col min="12" max="13" width="13.140625" style="0" customWidth="1"/>
    <col min="14" max="14" width="11.28125" style="0" customWidth="1"/>
    <col min="17" max="18" width="11.8515625" style="0" customWidth="1"/>
    <col min="19" max="19" width="11.7109375" style="0" customWidth="1"/>
    <col min="20" max="20" width="12.140625" style="0" customWidth="1"/>
    <col min="22" max="22" width="14.28125" style="0" bestFit="1" customWidth="1"/>
  </cols>
  <sheetData>
    <row r="1" spans="2:3" ht="31.5">
      <c r="B1" s="3" t="s">
        <v>0</v>
      </c>
      <c r="C1" s="3"/>
    </row>
    <row r="2" spans="2:21" ht="18.75">
      <c r="B2" s="2" t="s">
        <v>3</v>
      </c>
      <c r="C2" s="2"/>
      <c r="I2" s="9" t="s">
        <v>15</v>
      </c>
      <c r="J2" s="9"/>
      <c r="K2" s="8" t="s">
        <v>17</v>
      </c>
      <c r="L2" s="10" t="s">
        <v>20</v>
      </c>
      <c r="M2" s="10"/>
      <c r="N2" s="10"/>
      <c r="P2" s="10"/>
      <c r="Q2" s="10"/>
      <c r="R2" s="10"/>
      <c r="S2" s="10"/>
      <c r="U2" s="10"/>
    </row>
    <row r="3" spans="2:21" ht="18.75">
      <c r="B3" s="174" t="s">
        <v>226</v>
      </c>
      <c r="C3" s="35"/>
      <c r="D3" s="175">
        <f ca="1">NOW()</f>
        <v>40146.525809259256</v>
      </c>
      <c r="K3" s="8" t="s">
        <v>16</v>
      </c>
      <c r="L3" s="10" t="s">
        <v>21</v>
      </c>
      <c r="M3" s="10"/>
      <c r="N3" s="10"/>
      <c r="P3" s="10"/>
      <c r="Q3" s="10"/>
      <c r="R3" s="10"/>
      <c r="S3" s="10"/>
      <c r="U3" s="10"/>
    </row>
    <row r="4" spans="2:21" ht="15.75">
      <c r="B4" t="s">
        <v>8</v>
      </c>
      <c r="D4" t="s">
        <v>77</v>
      </c>
      <c r="K4" s="8" t="s">
        <v>18</v>
      </c>
      <c r="L4" s="10" t="s">
        <v>22</v>
      </c>
      <c r="M4" s="10"/>
      <c r="N4" s="10"/>
      <c r="P4" s="10"/>
      <c r="Q4" s="10"/>
      <c r="R4" s="10"/>
      <c r="S4" s="10"/>
      <c r="U4" s="10"/>
    </row>
    <row r="5" spans="11:21" ht="15.75">
      <c r="K5" s="8" t="s">
        <v>19</v>
      </c>
      <c r="L5" s="10" t="s">
        <v>23</v>
      </c>
      <c r="M5" s="10"/>
      <c r="N5" s="10"/>
      <c r="P5" s="10"/>
      <c r="Q5" s="10"/>
      <c r="R5" s="10"/>
      <c r="S5" s="10"/>
      <c r="U5" s="10"/>
    </row>
    <row r="6" spans="2:3" ht="23.25">
      <c r="B6" s="1" t="s">
        <v>1</v>
      </c>
      <c r="C6" s="1"/>
    </row>
    <row r="7" ht="15">
      <c r="B7" t="s">
        <v>2</v>
      </c>
    </row>
    <row r="8" ht="15.75" thickBot="1"/>
    <row r="9" spans="1:22" ht="15.75" thickBot="1">
      <c r="A9" s="34" t="s">
        <v>47</v>
      </c>
      <c r="B9" s="4" t="s">
        <v>4</v>
      </c>
      <c r="C9" s="5" t="s">
        <v>115</v>
      </c>
      <c r="D9" s="5" t="s">
        <v>5</v>
      </c>
      <c r="E9" s="5" t="s">
        <v>9</v>
      </c>
      <c r="F9" s="5" t="s">
        <v>6</v>
      </c>
      <c r="G9" s="5" t="s">
        <v>7</v>
      </c>
      <c r="H9" s="5" t="s">
        <v>10</v>
      </c>
      <c r="I9" s="5" t="s">
        <v>13</v>
      </c>
      <c r="J9" s="5" t="s">
        <v>39</v>
      </c>
      <c r="K9" s="5" t="s">
        <v>24</v>
      </c>
      <c r="L9" s="5" t="s">
        <v>35</v>
      </c>
      <c r="M9" s="5" t="s">
        <v>127</v>
      </c>
      <c r="N9" s="5" t="s">
        <v>25</v>
      </c>
      <c r="O9" s="5" t="s">
        <v>11</v>
      </c>
      <c r="P9" s="5" t="s">
        <v>12</v>
      </c>
      <c r="Q9" s="5" t="s">
        <v>43</v>
      </c>
      <c r="R9" s="29" t="s">
        <v>46</v>
      </c>
      <c r="S9" s="6" t="s">
        <v>14</v>
      </c>
      <c r="T9" s="6" t="s">
        <v>45</v>
      </c>
      <c r="U9" s="28" t="s">
        <v>44</v>
      </c>
      <c r="V9" s="159" t="s">
        <v>180</v>
      </c>
    </row>
    <row r="10" spans="1:20" ht="15.75">
      <c r="A10" s="71" t="s">
        <v>224</v>
      </c>
      <c r="D10" s="172" t="s">
        <v>220</v>
      </c>
      <c r="E10" s="173">
        <v>280</v>
      </c>
      <c r="R10" s="30"/>
      <c r="T10" s="32"/>
    </row>
    <row r="11" spans="1:22" ht="15.75">
      <c r="A11" s="14">
        <v>1</v>
      </c>
      <c r="B11" s="11">
        <v>90807</v>
      </c>
      <c r="C11" s="72" t="s">
        <v>116</v>
      </c>
      <c r="D11" s="7" t="s">
        <v>71</v>
      </c>
      <c r="E11" s="11">
        <v>40</v>
      </c>
      <c r="F11" s="57">
        <v>26.86</v>
      </c>
      <c r="G11" s="12" t="s">
        <v>23</v>
      </c>
      <c r="H11" s="11" t="s">
        <v>27</v>
      </c>
      <c r="I11" s="11" t="s">
        <v>26</v>
      </c>
      <c r="J11" s="24" t="s">
        <v>42</v>
      </c>
      <c r="K11" s="58">
        <v>476910026152</v>
      </c>
      <c r="L11" s="13" t="s">
        <v>84</v>
      </c>
      <c r="M11" s="184">
        <v>40081</v>
      </c>
      <c r="N11" s="57">
        <v>1078</v>
      </c>
      <c r="O11" s="27">
        <v>125</v>
      </c>
      <c r="P11" s="27">
        <v>195</v>
      </c>
      <c r="Q11" s="27">
        <f aca="true" t="shared" si="0" ref="Q11:Q16">195*F11</f>
        <v>5237.7</v>
      </c>
      <c r="R11" s="31">
        <f>O11+P11+Q11</f>
        <v>5557.7</v>
      </c>
      <c r="S11" s="27">
        <v>1500</v>
      </c>
      <c r="T11" s="33">
        <f>R11+S11</f>
        <v>7057.7</v>
      </c>
      <c r="U11" s="26">
        <f aca="true" t="shared" si="1" ref="U11:U16">T11/F11</f>
        <v>262.7587490692479</v>
      </c>
      <c r="V11" s="26">
        <f aca="true" t="shared" si="2" ref="V11:V16">280-U11</f>
        <v>17.241250930752074</v>
      </c>
    </row>
    <row r="12" spans="1:22" ht="15.75">
      <c r="A12" s="14">
        <f>A11+1</f>
        <v>2</v>
      </c>
      <c r="B12" s="11">
        <v>90807</v>
      </c>
      <c r="C12" s="72" t="s">
        <v>116</v>
      </c>
      <c r="D12" s="7" t="s">
        <v>72</v>
      </c>
      <c r="E12" s="11">
        <v>20</v>
      </c>
      <c r="F12" s="57">
        <v>21.59</v>
      </c>
      <c r="G12" s="12" t="s">
        <v>23</v>
      </c>
      <c r="H12" s="11" t="s">
        <v>27</v>
      </c>
      <c r="I12" s="11" t="s">
        <v>26</v>
      </c>
      <c r="J12" s="24" t="s">
        <v>41</v>
      </c>
      <c r="K12" s="58">
        <v>476910027183</v>
      </c>
      <c r="L12" s="13" t="s">
        <v>83</v>
      </c>
      <c r="M12" s="184">
        <v>40092</v>
      </c>
      <c r="N12" s="57">
        <v>1080</v>
      </c>
      <c r="O12" s="27">
        <v>125</v>
      </c>
      <c r="P12" s="27">
        <v>195</v>
      </c>
      <c r="Q12" s="27">
        <f t="shared" si="0"/>
        <v>4210.05</v>
      </c>
      <c r="R12" s="31">
        <f aca="true" t="shared" si="3" ref="R12:R30">O12+P12+Q12</f>
        <v>4530.05</v>
      </c>
      <c r="S12" s="27">
        <v>1200</v>
      </c>
      <c r="T12" s="33">
        <f aca="true" t="shared" si="4" ref="T12:T30">R12+S12</f>
        <v>5730.05</v>
      </c>
      <c r="U12" s="26">
        <f t="shared" si="1"/>
        <v>265.40296433534047</v>
      </c>
      <c r="V12" s="26">
        <f t="shared" si="2"/>
        <v>14.59703566465953</v>
      </c>
    </row>
    <row r="13" spans="1:22" ht="15">
      <c r="A13" s="14">
        <f>A12+1</f>
        <v>3</v>
      </c>
      <c r="B13" s="11">
        <v>90807</v>
      </c>
      <c r="C13" s="72" t="s">
        <v>116</v>
      </c>
      <c r="D13" s="22" t="s">
        <v>73</v>
      </c>
      <c r="E13" s="11">
        <v>40</v>
      </c>
      <c r="F13" s="57">
        <v>21.87</v>
      </c>
      <c r="G13" s="12" t="s">
        <v>23</v>
      </c>
      <c r="H13" s="11" t="s">
        <v>50</v>
      </c>
      <c r="I13" s="11" t="s">
        <v>49</v>
      </c>
      <c r="J13" s="23" t="s">
        <v>40</v>
      </c>
      <c r="K13" s="58" t="s">
        <v>76</v>
      </c>
      <c r="L13" s="13">
        <v>143880</v>
      </c>
      <c r="M13" s="184">
        <v>40087</v>
      </c>
      <c r="N13" s="57">
        <v>1079</v>
      </c>
      <c r="O13" s="27">
        <v>200</v>
      </c>
      <c r="P13" s="27">
        <v>195</v>
      </c>
      <c r="Q13" s="27">
        <f t="shared" si="0"/>
        <v>4264.650000000001</v>
      </c>
      <c r="R13" s="31">
        <f t="shared" si="3"/>
        <v>4659.650000000001</v>
      </c>
      <c r="S13" s="27">
        <v>1500</v>
      </c>
      <c r="T13" s="33">
        <f t="shared" si="4"/>
        <v>6159.650000000001</v>
      </c>
      <c r="U13" s="26">
        <f t="shared" si="1"/>
        <v>281.64837677183357</v>
      </c>
      <c r="V13" s="26">
        <f t="shared" si="2"/>
        <v>-1.6483767718335685</v>
      </c>
    </row>
    <row r="14" spans="1:22" ht="15.75">
      <c r="A14" s="14">
        <f>A13+1</f>
        <v>4</v>
      </c>
      <c r="B14" s="11">
        <v>90807</v>
      </c>
      <c r="C14" s="72" t="s">
        <v>116</v>
      </c>
      <c r="D14" s="7" t="s">
        <v>74</v>
      </c>
      <c r="E14" s="11">
        <v>40</v>
      </c>
      <c r="F14" s="57">
        <v>14.69</v>
      </c>
      <c r="G14" s="12" t="s">
        <v>23</v>
      </c>
      <c r="H14" s="11" t="s">
        <v>27</v>
      </c>
      <c r="I14" s="11" t="s">
        <v>26</v>
      </c>
      <c r="J14" s="24" t="s">
        <v>41</v>
      </c>
      <c r="K14" s="58">
        <v>476910026934</v>
      </c>
      <c r="L14" s="13" t="s">
        <v>37</v>
      </c>
      <c r="M14" s="184">
        <v>40092</v>
      </c>
      <c r="N14" s="57">
        <v>1081</v>
      </c>
      <c r="O14" s="27">
        <v>225</v>
      </c>
      <c r="P14" s="27">
        <v>195</v>
      </c>
      <c r="Q14" s="27">
        <f t="shared" si="0"/>
        <v>2864.5499999999997</v>
      </c>
      <c r="R14" s="31">
        <f t="shared" si="3"/>
        <v>3284.5499999999997</v>
      </c>
      <c r="S14" s="27">
        <v>1500</v>
      </c>
      <c r="T14" s="33">
        <f t="shared" si="4"/>
        <v>4784.549999999999</v>
      </c>
      <c r="U14" s="26">
        <f t="shared" si="1"/>
        <v>325.7011572498298</v>
      </c>
      <c r="V14" s="26">
        <f t="shared" si="2"/>
        <v>-45.701157249829805</v>
      </c>
    </row>
    <row r="15" spans="1:22" ht="15.75">
      <c r="A15" s="14">
        <f>A14+1</f>
        <v>5</v>
      </c>
      <c r="B15" s="11">
        <v>90807</v>
      </c>
      <c r="C15" s="72" t="s">
        <v>116</v>
      </c>
      <c r="D15" s="7" t="s">
        <v>75</v>
      </c>
      <c r="E15" s="11">
        <v>40</v>
      </c>
      <c r="F15" s="57">
        <v>22.5</v>
      </c>
      <c r="G15" s="12" t="s">
        <v>23</v>
      </c>
      <c r="H15" s="11" t="s">
        <v>27</v>
      </c>
      <c r="I15" s="11" t="s">
        <v>26</v>
      </c>
      <c r="J15" s="24" t="s">
        <v>41</v>
      </c>
      <c r="K15" s="58">
        <v>476910028058</v>
      </c>
      <c r="L15" s="13" t="s">
        <v>38</v>
      </c>
      <c r="M15" s="184">
        <v>40110</v>
      </c>
      <c r="N15" s="57">
        <v>1082</v>
      </c>
      <c r="O15" s="27">
        <v>225</v>
      </c>
      <c r="P15" s="27">
        <v>195</v>
      </c>
      <c r="Q15" s="27">
        <f t="shared" si="0"/>
        <v>4387.5</v>
      </c>
      <c r="R15" s="31">
        <f t="shared" si="3"/>
        <v>4807.5</v>
      </c>
      <c r="S15" s="27">
        <v>1500</v>
      </c>
      <c r="T15" s="33">
        <f t="shared" si="4"/>
        <v>6307.5</v>
      </c>
      <c r="U15" s="26">
        <f t="shared" si="1"/>
        <v>280.3333333333333</v>
      </c>
      <c r="V15" s="26">
        <f t="shared" si="2"/>
        <v>-0.3333333333333144</v>
      </c>
    </row>
    <row r="16" spans="1:22" ht="15.75">
      <c r="A16" s="14">
        <f>A15+1</f>
        <v>6</v>
      </c>
      <c r="B16" s="11">
        <v>90807</v>
      </c>
      <c r="C16" s="72" t="s">
        <v>116</v>
      </c>
      <c r="D16" s="7" t="s">
        <v>70</v>
      </c>
      <c r="E16" s="11">
        <v>40</v>
      </c>
      <c r="F16" s="57">
        <v>31.06</v>
      </c>
      <c r="G16" s="12" t="s">
        <v>23</v>
      </c>
      <c r="H16" s="11" t="s">
        <v>27</v>
      </c>
      <c r="I16" s="11" t="s">
        <v>26</v>
      </c>
      <c r="J16" s="24" t="s">
        <v>41</v>
      </c>
      <c r="K16" s="58">
        <v>476910027183</v>
      </c>
      <c r="L16" s="13" t="s">
        <v>82</v>
      </c>
      <c r="M16" s="184">
        <v>40098</v>
      </c>
      <c r="N16" s="57">
        <v>1083</v>
      </c>
      <c r="O16" s="27">
        <v>125</v>
      </c>
      <c r="P16" s="27">
        <v>195</v>
      </c>
      <c r="Q16" s="27">
        <f t="shared" si="0"/>
        <v>6056.7</v>
      </c>
      <c r="R16" s="31">
        <f>O16+P16+Q16</f>
        <v>6376.7</v>
      </c>
      <c r="S16" s="27">
        <v>1500</v>
      </c>
      <c r="T16" s="33">
        <f>R16+S16</f>
        <v>7876.7</v>
      </c>
      <c r="U16" s="26">
        <f t="shared" si="1"/>
        <v>253.59626529298134</v>
      </c>
      <c r="V16" s="26">
        <f t="shared" si="2"/>
        <v>26.403734707018657</v>
      </c>
    </row>
    <row r="17" spans="5:21" ht="15">
      <c r="E17" s="11"/>
      <c r="F17" s="11" t="s">
        <v>36</v>
      </c>
      <c r="G17" s="12"/>
      <c r="H17" s="11"/>
      <c r="I17" s="11"/>
      <c r="J17" s="11" t="s">
        <v>36</v>
      </c>
      <c r="K17" s="13"/>
      <c r="L17" s="13"/>
      <c r="M17" s="184"/>
      <c r="N17" s="11"/>
      <c r="O17" s="27"/>
      <c r="P17" s="27"/>
      <c r="Q17" s="27"/>
      <c r="R17" s="31" t="s">
        <v>36</v>
      </c>
      <c r="S17" s="27"/>
      <c r="T17" s="33" t="s">
        <v>36</v>
      </c>
      <c r="U17" s="26" t="s">
        <v>36</v>
      </c>
    </row>
    <row r="18" spans="1:22" ht="15">
      <c r="A18" s="14">
        <f>A16+1</f>
        <v>7</v>
      </c>
      <c r="B18" s="11">
        <v>90815</v>
      </c>
      <c r="C18" s="72" t="s">
        <v>116</v>
      </c>
      <c r="D18" s="60" t="s">
        <v>89</v>
      </c>
      <c r="E18" s="11">
        <v>40</v>
      </c>
      <c r="F18" s="57">
        <v>28.21</v>
      </c>
      <c r="G18" s="12" t="s">
        <v>23</v>
      </c>
      <c r="H18" s="11" t="s">
        <v>27</v>
      </c>
      <c r="I18" s="11" t="s">
        <v>26</v>
      </c>
      <c r="J18" s="59" t="s">
        <v>86</v>
      </c>
      <c r="K18" s="58">
        <v>476910027736</v>
      </c>
      <c r="L18" s="11" t="s">
        <v>93</v>
      </c>
      <c r="M18" s="184">
        <v>40106</v>
      </c>
      <c r="N18" s="57">
        <v>1084</v>
      </c>
      <c r="O18" s="27">
        <v>225</v>
      </c>
      <c r="P18" s="27">
        <v>195</v>
      </c>
      <c r="Q18" s="27">
        <f>195*F18</f>
        <v>5500.95</v>
      </c>
      <c r="R18" s="31">
        <f t="shared" si="3"/>
        <v>5920.95</v>
      </c>
      <c r="S18" s="27">
        <v>1500</v>
      </c>
      <c r="T18" s="33">
        <f t="shared" si="4"/>
        <v>7420.95</v>
      </c>
      <c r="U18" s="26">
        <f>T18/F18</f>
        <v>263.0609712867777</v>
      </c>
      <c r="V18" s="26">
        <f>280-U18</f>
        <v>16.939028713222285</v>
      </c>
    </row>
    <row r="19" spans="1:22" ht="15">
      <c r="A19" s="14">
        <f>A18+1</f>
        <v>8</v>
      </c>
      <c r="B19" s="11">
        <v>90815</v>
      </c>
      <c r="C19" s="72" t="s">
        <v>116</v>
      </c>
      <c r="D19" s="61" t="s">
        <v>88</v>
      </c>
      <c r="E19" s="11">
        <v>40</v>
      </c>
      <c r="F19" s="57">
        <v>20.55</v>
      </c>
      <c r="G19" s="12" t="s">
        <v>23</v>
      </c>
      <c r="H19" s="11" t="s">
        <v>27</v>
      </c>
      <c r="I19" s="11" t="s">
        <v>26</v>
      </c>
      <c r="J19" s="59" t="s">
        <v>87</v>
      </c>
      <c r="K19" s="58">
        <v>476910028023</v>
      </c>
      <c r="L19" s="11" t="s">
        <v>85</v>
      </c>
      <c r="M19" s="184">
        <v>40118</v>
      </c>
      <c r="N19" s="57">
        <v>1085</v>
      </c>
      <c r="O19" s="27">
        <v>225</v>
      </c>
      <c r="P19" s="27">
        <v>195</v>
      </c>
      <c r="Q19" s="27">
        <f>195*F19</f>
        <v>4007.25</v>
      </c>
      <c r="R19" s="31">
        <f t="shared" si="3"/>
        <v>4427.25</v>
      </c>
      <c r="S19" s="27">
        <v>1500</v>
      </c>
      <c r="T19" s="33">
        <f t="shared" si="4"/>
        <v>5927.25</v>
      </c>
      <c r="U19" s="26">
        <f>T19/F19</f>
        <v>288.43065693430657</v>
      </c>
      <c r="V19" s="26">
        <f>280-U19</f>
        <v>-8.430656934306569</v>
      </c>
    </row>
    <row r="20" spans="1:22" ht="15">
      <c r="A20" s="14">
        <f>A19+1</f>
        <v>9</v>
      </c>
      <c r="B20" s="11">
        <v>90815</v>
      </c>
      <c r="C20" s="72" t="s">
        <v>116</v>
      </c>
      <c r="D20" t="s">
        <v>90</v>
      </c>
      <c r="E20" s="11">
        <v>40</v>
      </c>
      <c r="F20" s="57">
        <v>26.68</v>
      </c>
      <c r="G20" s="12" t="s">
        <v>23</v>
      </c>
      <c r="H20" s="11" t="s">
        <v>27</v>
      </c>
      <c r="I20" s="11" t="s">
        <v>26</v>
      </c>
      <c r="J20" s="59" t="s">
        <v>91</v>
      </c>
      <c r="K20" s="58">
        <v>476910029402</v>
      </c>
      <c r="L20" s="11" t="s">
        <v>92</v>
      </c>
      <c r="M20" s="184">
        <v>40123</v>
      </c>
      <c r="N20" s="57">
        <v>1086</v>
      </c>
      <c r="O20" s="27">
        <v>250</v>
      </c>
      <c r="P20" s="27">
        <v>195</v>
      </c>
      <c r="Q20" s="27">
        <f>195*F20</f>
        <v>5202.6</v>
      </c>
      <c r="R20" s="67">
        <f t="shared" si="3"/>
        <v>5647.6</v>
      </c>
      <c r="S20" s="27">
        <v>1500</v>
      </c>
      <c r="T20" s="65">
        <f t="shared" si="4"/>
        <v>7147.6</v>
      </c>
      <c r="U20" s="66">
        <f>T20/F20</f>
        <v>267.90104947526237</v>
      </c>
      <c r="V20" s="66">
        <f>280-U20</f>
        <v>12.098950524737631</v>
      </c>
    </row>
    <row r="21" spans="1:22" ht="18.75">
      <c r="A21" s="14"/>
      <c r="B21" s="11"/>
      <c r="C21" s="11"/>
      <c r="D21" s="71" t="s">
        <v>99</v>
      </c>
      <c r="E21" s="11"/>
      <c r="F21" s="64">
        <f>SUM(F11:F20)</f>
        <v>214.01000000000002</v>
      </c>
      <c r="G21" s="12"/>
      <c r="H21" s="11"/>
      <c r="I21" s="11"/>
      <c r="J21" s="59"/>
      <c r="K21" s="58"/>
      <c r="L21" s="11"/>
      <c r="M21" s="11"/>
      <c r="N21" s="57"/>
      <c r="O21" s="27"/>
      <c r="P21" s="27"/>
      <c r="Q21" s="27"/>
      <c r="R21" s="68">
        <f>SUM(R11:R20)</f>
        <v>45211.95</v>
      </c>
      <c r="S21" s="69"/>
      <c r="T21" s="68">
        <f>SUM(T11:T20)</f>
        <v>58411.95</v>
      </c>
      <c r="U21" s="70">
        <f>T21/F21</f>
        <v>272.9402831643381</v>
      </c>
      <c r="V21" s="161">
        <f>(280*F21)-T21</f>
        <v>1510.8500000000058</v>
      </c>
    </row>
    <row r="22" spans="1:21" ht="15.75">
      <c r="A22" s="71" t="s">
        <v>223</v>
      </c>
      <c r="D22" s="172" t="s">
        <v>220</v>
      </c>
      <c r="E22" s="173">
        <v>300</v>
      </c>
      <c r="F22" s="11"/>
      <c r="G22" s="12"/>
      <c r="H22" s="11"/>
      <c r="I22" s="11"/>
      <c r="J22" s="11"/>
      <c r="K22" s="11"/>
      <c r="L22" s="11"/>
      <c r="M22" s="11"/>
      <c r="N22" s="11"/>
      <c r="O22" s="27"/>
      <c r="P22" s="27"/>
      <c r="Q22" s="27"/>
      <c r="R22" s="31"/>
      <c r="S22" s="27"/>
      <c r="T22" s="33"/>
      <c r="U22" s="26" t="s">
        <v>36</v>
      </c>
    </row>
    <row r="23" spans="1:22" ht="15">
      <c r="A23" s="14">
        <v>1</v>
      </c>
      <c r="B23" s="11">
        <v>90918</v>
      </c>
      <c r="C23" s="79" t="s">
        <v>116</v>
      </c>
      <c r="D23" t="s">
        <v>101</v>
      </c>
      <c r="E23" s="11">
        <v>40</v>
      </c>
      <c r="F23" s="57">
        <v>27.44</v>
      </c>
      <c r="G23" s="12" t="s">
        <v>23</v>
      </c>
      <c r="H23" s="11" t="s">
        <v>27</v>
      </c>
      <c r="I23" s="11" t="s">
        <v>26</v>
      </c>
      <c r="J23" s="72" t="s">
        <v>104</v>
      </c>
      <c r="K23" s="58">
        <v>476910029941</v>
      </c>
      <c r="L23" s="13" t="s">
        <v>106</v>
      </c>
      <c r="M23" s="13"/>
      <c r="N23" s="57">
        <v>1101</v>
      </c>
      <c r="O23" s="27">
        <v>250</v>
      </c>
      <c r="P23" s="27">
        <v>195</v>
      </c>
      <c r="Q23" s="27">
        <f aca="true" t="shared" si="5" ref="Q23:Q30">227*F23</f>
        <v>6228.88</v>
      </c>
      <c r="R23" s="31">
        <f t="shared" si="3"/>
        <v>6673.88</v>
      </c>
      <c r="S23" s="27">
        <v>1300</v>
      </c>
      <c r="T23" s="33">
        <f t="shared" si="4"/>
        <v>7973.88</v>
      </c>
      <c r="U23" s="26">
        <f aca="true" t="shared" si="6" ref="U23:U31">T23/F23</f>
        <v>290.5932944606414</v>
      </c>
      <c r="V23" s="26">
        <f>300-U23</f>
        <v>9.406705539358597</v>
      </c>
    </row>
    <row r="24" spans="1:22" ht="15">
      <c r="A24" s="14">
        <f aca="true" t="shared" si="7" ref="A24:A38">A23+1</f>
        <v>2</v>
      </c>
      <c r="B24" s="11">
        <v>90918</v>
      </c>
      <c r="C24" s="79" t="s">
        <v>116</v>
      </c>
      <c r="D24" t="s">
        <v>107</v>
      </c>
      <c r="E24" s="11">
        <v>40</v>
      </c>
      <c r="F24" s="57">
        <v>26.62</v>
      </c>
      <c r="G24" s="12" t="s">
        <v>23</v>
      </c>
      <c r="H24" s="11" t="s">
        <v>27</v>
      </c>
      <c r="I24" s="11" t="s">
        <v>49</v>
      </c>
      <c r="J24" s="78" t="s">
        <v>108</v>
      </c>
      <c r="K24" s="58" t="s">
        <v>165</v>
      </c>
      <c r="L24" s="13">
        <v>145278</v>
      </c>
      <c r="M24" s="13"/>
      <c r="N24" s="57">
        <v>1108</v>
      </c>
      <c r="O24" s="27">
        <v>0</v>
      </c>
      <c r="P24" s="27">
        <v>195</v>
      </c>
      <c r="Q24" s="27">
        <f t="shared" si="5"/>
        <v>6042.74</v>
      </c>
      <c r="R24" s="31">
        <f t="shared" si="3"/>
        <v>6237.74</v>
      </c>
      <c r="S24" s="27">
        <v>1200</v>
      </c>
      <c r="T24" s="33">
        <f t="shared" si="4"/>
        <v>7437.74</v>
      </c>
      <c r="U24" s="26">
        <f t="shared" si="6"/>
        <v>279.404207362885</v>
      </c>
      <c r="V24" s="26">
        <f aca="true" t="shared" si="8" ref="V24:V30">300-U24</f>
        <v>20.595792637114982</v>
      </c>
    </row>
    <row r="25" spans="1:22" ht="15">
      <c r="A25" s="14">
        <f t="shared" si="7"/>
        <v>3</v>
      </c>
      <c r="B25" s="11">
        <v>90918</v>
      </c>
      <c r="C25" s="79" t="s">
        <v>116</v>
      </c>
      <c r="D25" t="s">
        <v>102</v>
      </c>
      <c r="E25" s="11">
        <v>40</v>
      </c>
      <c r="F25" s="57">
        <v>22.06</v>
      </c>
      <c r="G25" s="12" t="s">
        <v>23</v>
      </c>
      <c r="H25" s="11" t="s">
        <v>50</v>
      </c>
      <c r="I25" s="78" t="s">
        <v>49</v>
      </c>
      <c r="J25" s="11" t="s">
        <v>124</v>
      </c>
      <c r="K25" s="58" t="s">
        <v>113</v>
      </c>
      <c r="L25" s="13">
        <v>5281402</v>
      </c>
      <c r="M25" s="13"/>
      <c r="N25" s="57">
        <v>1100</v>
      </c>
      <c r="O25" s="27">
        <v>0</v>
      </c>
      <c r="P25" s="27">
        <v>195</v>
      </c>
      <c r="Q25" s="27">
        <f t="shared" si="5"/>
        <v>5007.62</v>
      </c>
      <c r="R25" s="31">
        <f t="shared" si="3"/>
        <v>5202.62</v>
      </c>
      <c r="S25" s="27">
        <f>4400/3</f>
        <v>1466.6666666666667</v>
      </c>
      <c r="T25" s="33">
        <f t="shared" si="4"/>
        <v>6669.286666666667</v>
      </c>
      <c r="U25" s="26">
        <f t="shared" si="6"/>
        <v>302.3248715624056</v>
      </c>
      <c r="V25" s="26">
        <f t="shared" si="8"/>
        <v>-2.3248715624055762</v>
      </c>
    </row>
    <row r="26" spans="1:22" ht="15">
      <c r="A26" s="14">
        <f t="shared" si="7"/>
        <v>4</v>
      </c>
      <c r="B26" s="11">
        <v>90918</v>
      </c>
      <c r="C26" s="146" t="s">
        <v>116</v>
      </c>
      <c r="D26" t="s">
        <v>109</v>
      </c>
      <c r="E26" s="11">
        <v>40</v>
      </c>
      <c r="F26" s="57">
        <v>28</v>
      </c>
      <c r="G26" s="12" t="s">
        <v>23</v>
      </c>
      <c r="H26" s="11" t="s">
        <v>27</v>
      </c>
      <c r="I26" s="11" t="s">
        <v>26</v>
      </c>
      <c r="J26" s="72" t="s">
        <v>110</v>
      </c>
      <c r="K26" s="58">
        <v>476910030729</v>
      </c>
      <c r="L26" s="13">
        <v>28531</v>
      </c>
      <c r="M26" s="13"/>
      <c r="N26" s="57">
        <v>1102</v>
      </c>
      <c r="O26" s="27">
        <v>250</v>
      </c>
      <c r="P26" s="27">
        <v>195</v>
      </c>
      <c r="Q26" s="27">
        <f t="shared" si="5"/>
        <v>6356</v>
      </c>
      <c r="R26" s="31">
        <f t="shared" si="3"/>
        <v>6801</v>
      </c>
      <c r="S26" s="27">
        <v>1300</v>
      </c>
      <c r="T26" s="33">
        <f t="shared" si="4"/>
        <v>8101</v>
      </c>
      <c r="U26" s="26">
        <f t="shared" si="6"/>
        <v>289.32142857142856</v>
      </c>
      <c r="V26" s="26">
        <f t="shared" si="8"/>
        <v>10.678571428571445</v>
      </c>
    </row>
    <row r="27" spans="1:22" ht="15">
      <c r="A27" s="14">
        <f t="shared" si="7"/>
        <v>5</v>
      </c>
      <c r="B27" s="11">
        <v>90918</v>
      </c>
      <c r="C27" s="79" t="s">
        <v>116</v>
      </c>
      <c r="D27" t="s">
        <v>103</v>
      </c>
      <c r="E27" s="11">
        <v>40</v>
      </c>
      <c r="F27" s="57">
        <v>25.85</v>
      </c>
      <c r="G27" s="12" t="s">
        <v>23</v>
      </c>
      <c r="H27" s="11" t="s">
        <v>27</v>
      </c>
      <c r="I27" s="11" t="s">
        <v>49</v>
      </c>
      <c r="J27" s="11" t="s">
        <v>112</v>
      </c>
      <c r="K27" s="58" t="s">
        <v>126</v>
      </c>
      <c r="L27" s="13">
        <v>142720</v>
      </c>
      <c r="M27" s="13"/>
      <c r="N27" s="57">
        <v>1103</v>
      </c>
      <c r="O27" s="27">
        <v>0</v>
      </c>
      <c r="P27" s="27">
        <v>195</v>
      </c>
      <c r="Q27" s="27">
        <f t="shared" si="5"/>
        <v>5867.950000000001</v>
      </c>
      <c r="R27" s="31">
        <f t="shared" si="3"/>
        <v>6062.950000000001</v>
      </c>
      <c r="S27" s="27">
        <v>1200</v>
      </c>
      <c r="T27" s="33">
        <f t="shared" si="4"/>
        <v>7262.950000000001</v>
      </c>
      <c r="U27" s="26">
        <f t="shared" si="6"/>
        <v>280.96518375241783</v>
      </c>
      <c r="V27" s="26">
        <f t="shared" si="8"/>
        <v>19.03481624758217</v>
      </c>
    </row>
    <row r="28" spans="1:22" ht="15">
      <c r="A28" s="14">
        <f t="shared" si="7"/>
        <v>6</v>
      </c>
      <c r="B28" s="11">
        <v>90918</v>
      </c>
      <c r="C28" s="79" t="s">
        <v>116</v>
      </c>
      <c r="D28" s="73" t="s">
        <v>114</v>
      </c>
      <c r="E28" s="11">
        <v>40</v>
      </c>
      <c r="F28" s="57">
        <v>22</v>
      </c>
      <c r="G28" s="12" t="s">
        <v>23</v>
      </c>
      <c r="H28" s="11" t="s">
        <v>50</v>
      </c>
      <c r="I28" s="11" t="s">
        <v>49</v>
      </c>
      <c r="J28" s="11" t="s">
        <v>124</v>
      </c>
      <c r="K28" s="58" t="s">
        <v>113</v>
      </c>
      <c r="L28" s="11">
        <v>145462</v>
      </c>
      <c r="M28" s="11"/>
      <c r="N28" s="57">
        <v>1109</v>
      </c>
      <c r="O28" s="27">
        <v>0</v>
      </c>
      <c r="P28" s="27">
        <v>195</v>
      </c>
      <c r="Q28" s="27">
        <f t="shared" si="5"/>
        <v>4994</v>
      </c>
      <c r="R28" s="31">
        <f t="shared" si="3"/>
        <v>5189</v>
      </c>
      <c r="S28" s="27">
        <f>4400/3</f>
        <v>1466.6666666666667</v>
      </c>
      <c r="T28" s="33">
        <f t="shared" si="4"/>
        <v>6655.666666666667</v>
      </c>
      <c r="U28" s="26">
        <f t="shared" si="6"/>
        <v>302.53030303030306</v>
      </c>
      <c r="V28" s="26">
        <f t="shared" si="8"/>
        <v>-2.5303030303030596</v>
      </c>
    </row>
    <row r="29" spans="1:22" ht="15">
      <c r="A29" s="14">
        <f t="shared" si="7"/>
        <v>7</v>
      </c>
      <c r="B29" s="11">
        <v>90918</v>
      </c>
      <c r="C29" s="79" t="s">
        <v>116</v>
      </c>
      <c r="D29" s="89" t="s">
        <v>122</v>
      </c>
      <c r="E29" s="11">
        <v>40</v>
      </c>
      <c r="F29" s="57">
        <v>22</v>
      </c>
      <c r="G29" s="12" t="s">
        <v>23</v>
      </c>
      <c r="H29" s="11" t="s">
        <v>27</v>
      </c>
      <c r="I29" s="11" t="s">
        <v>49</v>
      </c>
      <c r="J29" s="11" t="s">
        <v>111</v>
      </c>
      <c r="K29" s="58" t="s">
        <v>164</v>
      </c>
      <c r="L29" s="11">
        <v>145453</v>
      </c>
      <c r="M29" s="11"/>
      <c r="N29" s="57">
        <v>1114</v>
      </c>
      <c r="O29" s="27">
        <v>0</v>
      </c>
      <c r="P29" s="27">
        <v>195</v>
      </c>
      <c r="Q29" s="27">
        <f t="shared" si="5"/>
        <v>4994</v>
      </c>
      <c r="R29" s="31">
        <f t="shared" si="3"/>
        <v>5189</v>
      </c>
      <c r="S29" s="27">
        <v>1100</v>
      </c>
      <c r="T29" s="33">
        <f t="shared" si="4"/>
        <v>6289</v>
      </c>
      <c r="U29" s="26">
        <f t="shared" si="6"/>
        <v>285.8636363636364</v>
      </c>
      <c r="V29" s="26">
        <f t="shared" si="8"/>
        <v>14.136363636363626</v>
      </c>
    </row>
    <row r="30" spans="1:22" ht="15">
      <c r="A30" s="14">
        <f t="shared" si="7"/>
        <v>8</v>
      </c>
      <c r="B30" s="11">
        <v>90918</v>
      </c>
      <c r="C30" s="79" t="s">
        <v>116</v>
      </c>
      <c r="D30" s="89" t="s">
        <v>123</v>
      </c>
      <c r="E30" s="11">
        <v>40</v>
      </c>
      <c r="F30" s="57">
        <v>19.7</v>
      </c>
      <c r="G30" s="12" t="s">
        <v>23</v>
      </c>
      <c r="H30" s="11" t="s">
        <v>50</v>
      </c>
      <c r="I30" s="11" t="s">
        <v>49</v>
      </c>
      <c r="J30" t="s">
        <v>124</v>
      </c>
      <c r="K30" s="58" t="s">
        <v>113</v>
      </c>
      <c r="L30" s="13">
        <v>28531</v>
      </c>
      <c r="M30" s="13"/>
      <c r="N30" s="57">
        <v>1111</v>
      </c>
      <c r="O30" s="27">
        <v>0</v>
      </c>
      <c r="P30" s="27">
        <v>195</v>
      </c>
      <c r="Q30" s="27">
        <f t="shared" si="5"/>
        <v>4471.9</v>
      </c>
      <c r="R30" s="74">
        <f t="shared" si="3"/>
        <v>4666.9</v>
      </c>
      <c r="S30" s="27">
        <f>4400/3</f>
        <v>1466.6666666666667</v>
      </c>
      <c r="T30" s="75">
        <f t="shared" si="4"/>
        <v>6133.566666666667</v>
      </c>
      <c r="U30" s="76">
        <f t="shared" si="6"/>
        <v>311.3485617597293</v>
      </c>
      <c r="V30" s="66">
        <f t="shared" si="8"/>
        <v>-11.348561759729307</v>
      </c>
    </row>
    <row r="31" spans="1:25" ht="18.75">
      <c r="A31" s="14"/>
      <c r="D31" s="71" t="s">
        <v>99</v>
      </c>
      <c r="E31" s="11"/>
      <c r="F31" s="176">
        <f>SUM(F23:F30)</f>
        <v>193.67</v>
      </c>
      <c r="G31" s="12"/>
      <c r="H31" s="11"/>
      <c r="I31" s="11"/>
      <c r="O31" s="27"/>
      <c r="P31" s="27"/>
      <c r="Q31" s="27"/>
      <c r="R31" s="68">
        <f>SUM(R23:R30)</f>
        <v>46023.090000000004</v>
      </c>
      <c r="S31" s="69"/>
      <c r="T31" s="68">
        <f>SUM(T23:T30)</f>
        <v>56523.09</v>
      </c>
      <c r="U31" s="70">
        <f t="shared" si="6"/>
        <v>291.8525842928693</v>
      </c>
      <c r="V31" s="161">
        <f>(300*F31)-T31</f>
        <v>1577.9099999999962</v>
      </c>
      <c r="Y31" t="s">
        <v>36</v>
      </c>
    </row>
    <row r="32" spans="1:23" ht="15.75">
      <c r="A32" s="71" t="s">
        <v>222</v>
      </c>
      <c r="D32" s="172" t="s">
        <v>220</v>
      </c>
      <c r="E32" s="173">
        <v>276</v>
      </c>
      <c r="F32" s="11"/>
      <c r="G32" s="12"/>
      <c r="H32" s="11"/>
      <c r="I32" s="11"/>
      <c r="L32" t="s">
        <v>36</v>
      </c>
      <c r="N32" t="s">
        <v>36</v>
      </c>
      <c r="O32" s="27"/>
      <c r="P32" s="27"/>
      <c r="Q32" s="27"/>
      <c r="R32" s="31"/>
      <c r="S32" s="26"/>
      <c r="T32" s="33"/>
      <c r="U32" s="26"/>
      <c r="W32" t="s">
        <v>36</v>
      </c>
    </row>
    <row r="33" spans="1:22" ht="15">
      <c r="A33" s="14">
        <v>1</v>
      </c>
      <c r="B33" s="11">
        <v>91013</v>
      </c>
      <c r="C33" s="72" t="s">
        <v>116</v>
      </c>
      <c r="D33" s="73" t="s">
        <v>168</v>
      </c>
      <c r="E33" s="11">
        <v>40</v>
      </c>
      <c r="F33" s="57">
        <v>23.61</v>
      </c>
      <c r="G33" s="12" t="s">
        <v>167</v>
      </c>
      <c r="H33" s="11" t="s">
        <v>27</v>
      </c>
      <c r="I33" s="11" t="s">
        <v>121</v>
      </c>
      <c r="J33" s="11" t="s">
        <v>178</v>
      </c>
      <c r="K33" s="177" t="s">
        <v>219</v>
      </c>
      <c r="L33" s="11">
        <v>23388</v>
      </c>
      <c r="M33" s="169"/>
      <c r="N33" s="57">
        <v>1122</v>
      </c>
      <c r="O33" s="27">
        <v>125</v>
      </c>
      <c r="P33" s="27">
        <v>195</v>
      </c>
      <c r="Q33" s="27">
        <f>201*F33</f>
        <v>4745.61</v>
      </c>
      <c r="R33" s="31">
        <f aca="true" t="shared" si="9" ref="R33:R38">O33+P33+Q33</f>
        <v>5065.61</v>
      </c>
      <c r="S33" s="26">
        <v>1035</v>
      </c>
      <c r="T33" s="33">
        <f aca="true" t="shared" si="10" ref="T33:T38">R33+S33</f>
        <v>6100.61</v>
      </c>
      <c r="U33" s="26">
        <f aca="true" t="shared" si="11" ref="U33:U39">T33/F33</f>
        <v>258.3909360440491</v>
      </c>
      <c r="V33" s="26">
        <f aca="true" t="shared" si="12" ref="V33:V38">276-U33</f>
        <v>17.609063955950887</v>
      </c>
    </row>
    <row r="34" spans="1:22" ht="15">
      <c r="A34" s="14">
        <f t="shared" si="7"/>
        <v>2</v>
      </c>
      <c r="B34" s="11">
        <v>91013</v>
      </c>
      <c r="C34" s="79" t="s">
        <v>116</v>
      </c>
      <c r="D34" s="73" t="s">
        <v>169</v>
      </c>
      <c r="E34" s="11">
        <v>40</v>
      </c>
      <c r="F34" s="57">
        <v>25.79</v>
      </c>
      <c r="G34" s="12" t="s">
        <v>167</v>
      </c>
      <c r="H34" s="11" t="s">
        <v>27</v>
      </c>
      <c r="I34" s="11" t="s">
        <v>121</v>
      </c>
      <c r="J34" s="11" t="s">
        <v>178</v>
      </c>
      <c r="K34" s="58" t="s">
        <v>179</v>
      </c>
      <c r="L34" s="11">
        <v>23378</v>
      </c>
      <c r="M34" s="169"/>
      <c r="N34" s="57">
        <v>1122</v>
      </c>
      <c r="O34" s="27">
        <v>125</v>
      </c>
      <c r="P34" s="27">
        <v>195</v>
      </c>
      <c r="Q34" s="27">
        <f>205*F34</f>
        <v>5286.95</v>
      </c>
      <c r="R34" s="31">
        <f t="shared" si="9"/>
        <v>5606.95</v>
      </c>
      <c r="S34" s="26">
        <v>1035</v>
      </c>
      <c r="T34" s="33">
        <f t="shared" si="10"/>
        <v>6641.95</v>
      </c>
      <c r="U34" s="26">
        <f t="shared" si="11"/>
        <v>257.53974408685536</v>
      </c>
      <c r="V34" s="26">
        <f t="shared" si="12"/>
        <v>18.460255913144636</v>
      </c>
    </row>
    <row r="35" spans="1:22" ht="15">
      <c r="A35" s="14">
        <f t="shared" si="7"/>
        <v>3</v>
      </c>
      <c r="B35" s="11">
        <v>91013</v>
      </c>
      <c r="C35" s="72" t="s">
        <v>116</v>
      </c>
      <c r="D35" s="73" t="s">
        <v>170</v>
      </c>
      <c r="E35" s="11">
        <v>40</v>
      </c>
      <c r="F35" s="57">
        <v>21.85</v>
      </c>
      <c r="G35" s="12" t="s">
        <v>167</v>
      </c>
      <c r="H35" s="11" t="s">
        <v>27</v>
      </c>
      <c r="I35" s="11" t="s">
        <v>121</v>
      </c>
      <c r="J35" s="11" t="s">
        <v>178</v>
      </c>
      <c r="K35" s="58" t="s">
        <v>179</v>
      </c>
      <c r="L35" s="11">
        <v>23380</v>
      </c>
      <c r="M35" s="169"/>
      <c r="N35" s="57">
        <v>1122</v>
      </c>
      <c r="O35" s="27">
        <v>125</v>
      </c>
      <c r="P35" s="27">
        <v>195</v>
      </c>
      <c r="Q35" s="27">
        <f>197*F35</f>
        <v>4304.450000000001</v>
      </c>
      <c r="R35" s="31">
        <f t="shared" si="9"/>
        <v>4624.450000000001</v>
      </c>
      <c r="S35" s="26">
        <v>1035</v>
      </c>
      <c r="T35" s="33">
        <f t="shared" si="10"/>
        <v>5659.450000000001</v>
      </c>
      <c r="U35" s="26">
        <f t="shared" si="11"/>
        <v>259.0137299771167</v>
      </c>
      <c r="V35" s="26">
        <f t="shared" si="12"/>
        <v>16.986270022883275</v>
      </c>
    </row>
    <row r="36" spans="1:22" ht="15">
      <c r="A36" s="14">
        <f t="shared" si="7"/>
        <v>4</v>
      </c>
      <c r="B36" s="11">
        <v>91013</v>
      </c>
      <c r="C36" s="72" t="s">
        <v>116</v>
      </c>
      <c r="D36" s="73" t="s">
        <v>171</v>
      </c>
      <c r="E36" s="11">
        <v>40</v>
      </c>
      <c r="F36" s="57">
        <v>23.03</v>
      </c>
      <c r="G36" s="12" t="s">
        <v>167</v>
      </c>
      <c r="H36" s="11" t="s">
        <v>27</v>
      </c>
      <c r="I36" s="11" t="s">
        <v>121</v>
      </c>
      <c r="J36" s="11" t="s">
        <v>182</v>
      </c>
      <c r="K36" s="178" t="s">
        <v>179</v>
      </c>
      <c r="L36" s="11">
        <v>23379</v>
      </c>
      <c r="M36" s="169"/>
      <c r="N36" s="57">
        <v>1122</v>
      </c>
      <c r="O36" s="27">
        <v>125</v>
      </c>
      <c r="P36" s="27">
        <v>195</v>
      </c>
      <c r="Q36" s="27">
        <f>200*F36</f>
        <v>4606</v>
      </c>
      <c r="R36" s="31">
        <f t="shared" si="9"/>
        <v>4926</v>
      </c>
      <c r="S36" s="26">
        <v>1035</v>
      </c>
      <c r="T36" s="33">
        <f t="shared" si="10"/>
        <v>5961</v>
      </c>
      <c r="U36" s="26">
        <f t="shared" si="11"/>
        <v>258.83630047763785</v>
      </c>
      <c r="V36" s="76">
        <f t="shared" si="12"/>
        <v>17.16369952236215</v>
      </c>
    </row>
    <row r="37" spans="1:22" ht="15">
      <c r="A37" s="14">
        <f t="shared" si="7"/>
        <v>5</v>
      </c>
      <c r="B37" s="11">
        <v>91013</v>
      </c>
      <c r="C37" s="72" t="s">
        <v>116</v>
      </c>
      <c r="D37" s="73" t="s">
        <v>181</v>
      </c>
      <c r="E37" s="11">
        <v>40</v>
      </c>
      <c r="F37" s="57">
        <v>23.528</v>
      </c>
      <c r="G37" s="12" t="s">
        <v>167</v>
      </c>
      <c r="H37" s="11" t="s">
        <v>27</v>
      </c>
      <c r="I37" s="11" t="s">
        <v>121</v>
      </c>
      <c r="J37" s="11" t="s">
        <v>182</v>
      </c>
      <c r="K37" s="177" t="s">
        <v>219</v>
      </c>
      <c r="L37" s="11">
        <v>23396</v>
      </c>
      <c r="M37" s="169"/>
      <c r="N37" s="57">
        <v>1127</v>
      </c>
      <c r="O37" s="27">
        <v>125</v>
      </c>
      <c r="P37" s="27">
        <v>195</v>
      </c>
      <c r="Q37" s="27">
        <f>200*F37</f>
        <v>4705.599999999999</v>
      </c>
      <c r="R37" s="31">
        <f t="shared" si="9"/>
        <v>5025.599999999999</v>
      </c>
      <c r="S37" s="26">
        <v>1051.4</v>
      </c>
      <c r="T37" s="33">
        <f t="shared" si="10"/>
        <v>6077</v>
      </c>
      <c r="U37" s="26">
        <f t="shared" si="11"/>
        <v>258.2879972798368</v>
      </c>
      <c r="V37" s="76">
        <f t="shared" si="12"/>
        <v>17.712002720163184</v>
      </c>
    </row>
    <row r="38" spans="1:22" ht="15">
      <c r="A38" s="14">
        <f t="shared" si="7"/>
        <v>6</v>
      </c>
      <c r="B38" s="11">
        <v>91013</v>
      </c>
      <c r="C38" s="72" t="s">
        <v>116</v>
      </c>
      <c r="D38" s="167" t="s">
        <v>36</v>
      </c>
      <c r="E38" s="11">
        <v>40</v>
      </c>
      <c r="F38" s="168">
        <v>0</v>
      </c>
      <c r="G38" s="12"/>
      <c r="H38" s="11" t="s">
        <v>27</v>
      </c>
      <c r="I38" s="11" t="s">
        <v>121</v>
      </c>
      <c r="J38" s="11" t="s">
        <v>182</v>
      </c>
      <c r="K38" s="177" t="s">
        <v>219</v>
      </c>
      <c r="L38" s="169"/>
      <c r="M38" s="169"/>
      <c r="N38" s="170"/>
      <c r="O38" s="27">
        <v>0</v>
      </c>
      <c r="P38" s="27"/>
      <c r="Q38" s="27">
        <f>190*F38</f>
        <v>0</v>
      </c>
      <c r="R38" s="67">
        <f t="shared" si="9"/>
        <v>0</v>
      </c>
      <c r="S38" s="26"/>
      <c r="T38" s="65">
        <f t="shared" si="10"/>
        <v>0</v>
      </c>
      <c r="U38" s="66" t="e">
        <f t="shared" si="11"/>
        <v>#DIV/0!</v>
      </c>
      <c r="V38" s="66" t="e">
        <f t="shared" si="12"/>
        <v>#DIV/0!</v>
      </c>
    </row>
    <row r="39" spans="1:22" ht="18.75">
      <c r="A39" s="14"/>
      <c r="C39" s="72"/>
      <c r="D39" s="73"/>
      <c r="E39" s="11"/>
      <c r="F39" s="176">
        <f>SUM(F33:F38)</f>
        <v>117.80799999999999</v>
      </c>
      <c r="G39" s="12"/>
      <c r="H39" s="11"/>
      <c r="I39" s="11"/>
      <c r="J39" t="s">
        <v>36</v>
      </c>
      <c r="O39" s="27"/>
      <c r="P39" s="27"/>
      <c r="Q39" s="27"/>
      <c r="R39" s="68">
        <f>SUM(R33:R38)</f>
        <v>25248.61</v>
      </c>
      <c r="S39" s="69"/>
      <c r="T39" s="68">
        <f>SUM(T33:T38)</f>
        <v>30440.010000000002</v>
      </c>
      <c r="U39" s="70">
        <f t="shared" si="11"/>
        <v>258.3866121146272</v>
      </c>
      <c r="V39" s="161">
        <f>(276*F39)-T39</f>
        <v>2074.997999999996</v>
      </c>
    </row>
    <row r="40" spans="1:21" ht="15">
      <c r="A40" s="14"/>
      <c r="C40" s="72"/>
      <c r="D40" s="73"/>
      <c r="E40" s="11"/>
      <c r="F40" s="11"/>
      <c r="G40" s="12"/>
      <c r="H40" s="11"/>
      <c r="I40" s="11"/>
      <c r="K40" s="13"/>
      <c r="L40" s="11"/>
      <c r="M40" s="11"/>
      <c r="O40" s="27"/>
      <c r="P40" s="27"/>
      <c r="Q40" s="27"/>
      <c r="R40" s="31"/>
      <c r="S40" s="26"/>
      <c r="T40" s="33"/>
      <c r="U40" s="26"/>
    </row>
    <row r="41" spans="1:22" ht="15">
      <c r="A41" s="14">
        <f>A38+1</f>
        <v>7</v>
      </c>
      <c r="B41" s="11">
        <v>91013</v>
      </c>
      <c r="C41" s="72" t="s">
        <v>116</v>
      </c>
      <c r="D41" s="73" t="s">
        <v>174</v>
      </c>
      <c r="E41" s="11">
        <v>40</v>
      </c>
      <c r="F41" s="57">
        <v>22</v>
      </c>
      <c r="G41" s="12" t="s">
        <v>167</v>
      </c>
      <c r="H41" s="11" t="s">
        <v>50</v>
      </c>
      <c r="I41" s="11" t="s">
        <v>49</v>
      </c>
      <c r="J41" s="11" t="s">
        <v>172</v>
      </c>
      <c r="K41" s="58" t="s">
        <v>173</v>
      </c>
      <c r="L41" s="11">
        <v>28673</v>
      </c>
      <c r="M41" s="169"/>
      <c r="N41" s="57">
        <v>1123</v>
      </c>
      <c r="O41" s="27">
        <v>200</v>
      </c>
      <c r="P41" s="27">
        <v>195</v>
      </c>
      <c r="Q41" s="27">
        <f>193*F41</f>
        <v>4246</v>
      </c>
      <c r="R41" s="31">
        <f>O41+P41+Q41</f>
        <v>4641</v>
      </c>
      <c r="S41" s="26">
        <v>1055</v>
      </c>
      <c r="T41" s="33">
        <f>R41+S41</f>
        <v>5696</v>
      </c>
      <c r="U41" s="26">
        <f>T41/F41</f>
        <v>258.90909090909093</v>
      </c>
      <c r="V41" s="26">
        <f>276-U41</f>
        <v>17.090909090909065</v>
      </c>
    </row>
    <row r="42" spans="1:25" ht="15">
      <c r="A42" s="14">
        <f>A41+1</f>
        <v>8</v>
      </c>
      <c r="B42" s="11">
        <v>91013</v>
      </c>
      <c r="C42" s="72" t="s">
        <v>116</v>
      </c>
      <c r="D42" s="73" t="s">
        <v>175</v>
      </c>
      <c r="E42" s="11">
        <v>40</v>
      </c>
      <c r="F42" s="57">
        <v>22.42</v>
      </c>
      <c r="G42" s="12" t="s">
        <v>167</v>
      </c>
      <c r="H42" s="11" t="s">
        <v>50</v>
      </c>
      <c r="I42" s="11" t="s">
        <v>49</v>
      </c>
      <c r="J42" s="11" t="s">
        <v>172</v>
      </c>
      <c r="K42" s="58" t="s">
        <v>173</v>
      </c>
      <c r="L42" s="11">
        <v>28671</v>
      </c>
      <c r="M42" s="169"/>
      <c r="N42" s="57">
        <v>1123</v>
      </c>
      <c r="O42" s="27">
        <v>200</v>
      </c>
      <c r="P42" s="27">
        <v>195</v>
      </c>
      <c r="Q42" s="27">
        <f>194*F42</f>
        <v>4349.4800000000005</v>
      </c>
      <c r="R42" s="31">
        <f aca="true" t="shared" si="13" ref="R42:R48">O42+P42+Q42</f>
        <v>4744.4800000000005</v>
      </c>
      <c r="S42" s="26">
        <v>1055</v>
      </c>
      <c r="T42" s="33">
        <f aca="true" t="shared" si="14" ref="T42:T48">R42+S42</f>
        <v>5799.4800000000005</v>
      </c>
      <c r="U42" s="26">
        <f aca="true" t="shared" si="15" ref="U42:U48">T42/F42</f>
        <v>258.6743978590544</v>
      </c>
      <c r="V42" s="26">
        <f>276-U42</f>
        <v>17.32560214094559</v>
      </c>
      <c r="Y42" t="s">
        <v>36</v>
      </c>
    </row>
    <row r="43" spans="1:22" ht="15">
      <c r="A43" s="14">
        <f>A42+1</f>
        <v>9</v>
      </c>
      <c r="B43" s="11">
        <v>91013</v>
      </c>
      <c r="C43" s="72" t="s">
        <v>116</v>
      </c>
      <c r="D43" s="73" t="s">
        <v>176</v>
      </c>
      <c r="E43" s="11">
        <v>40</v>
      </c>
      <c r="F43" s="57">
        <v>23</v>
      </c>
      <c r="G43" s="12" t="s">
        <v>167</v>
      </c>
      <c r="H43" s="11" t="s">
        <v>50</v>
      </c>
      <c r="I43" s="11" t="s">
        <v>49</v>
      </c>
      <c r="J43" s="11" t="s">
        <v>172</v>
      </c>
      <c r="K43" s="58" t="s">
        <v>173</v>
      </c>
      <c r="L43" s="11">
        <v>28738</v>
      </c>
      <c r="M43" s="169" t="s">
        <v>36</v>
      </c>
      <c r="N43" s="57">
        <v>1123</v>
      </c>
      <c r="O43" s="27">
        <v>200</v>
      </c>
      <c r="P43" s="27">
        <v>195</v>
      </c>
      <c r="Q43" s="27">
        <f>195.5*F43</f>
        <v>4496.5</v>
      </c>
      <c r="R43" s="31">
        <f t="shared" si="13"/>
        <v>4891.5</v>
      </c>
      <c r="S43" s="26">
        <v>1055</v>
      </c>
      <c r="T43" s="33">
        <f t="shared" si="14"/>
        <v>5946.5</v>
      </c>
      <c r="U43" s="26">
        <f t="shared" si="15"/>
        <v>258.54347826086956</v>
      </c>
      <c r="V43" s="26">
        <f>276-U43</f>
        <v>17.456521739130437</v>
      </c>
    </row>
    <row r="44" spans="1:22" ht="15">
      <c r="A44" s="14">
        <f aca="true" t="shared" si="16" ref="A44:A91">A43+1</f>
        <v>10</v>
      </c>
      <c r="B44" s="11">
        <v>91013</v>
      </c>
      <c r="C44" s="72" t="s">
        <v>116</v>
      </c>
      <c r="D44" s="73" t="s">
        <v>177</v>
      </c>
      <c r="E44" s="11">
        <v>40</v>
      </c>
      <c r="F44" s="57">
        <v>23.34</v>
      </c>
      <c r="G44" s="12" t="s">
        <v>167</v>
      </c>
      <c r="H44" s="11" t="s">
        <v>50</v>
      </c>
      <c r="I44" s="11" t="s">
        <v>49</v>
      </c>
      <c r="J44" s="11" t="s">
        <v>172</v>
      </c>
      <c r="K44" s="58" t="s">
        <v>173</v>
      </c>
      <c r="L44" s="11">
        <v>28739</v>
      </c>
      <c r="M44" s="169"/>
      <c r="N44" s="57">
        <v>1123</v>
      </c>
      <c r="O44" s="27">
        <v>200</v>
      </c>
      <c r="P44" s="27">
        <v>195</v>
      </c>
      <c r="Q44" s="27">
        <f>196.25*F44</f>
        <v>4580.475</v>
      </c>
      <c r="R44" s="31">
        <f t="shared" si="13"/>
        <v>4975.475</v>
      </c>
      <c r="S44" s="26">
        <v>1055</v>
      </c>
      <c r="T44" s="33">
        <f t="shared" si="14"/>
        <v>6030.475</v>
      </c>
      <c r="U44" s="26">
        <f t="shared" si="15"/>
        <v>258.37510711225366</v>
      </c>
      <c r="V44" s="66">
        <f>276-U44</f>
        <v>17.62489288774634</v>
      </c>
    </row>
    <row r="45" spans="1:22" ht="18.75">
      <c r="A45" s="14"/>
      <c r="C45" s="72"/>
      <c r="D45" s="43"/>
      <c r="E45" s="11"/>
      <c r="F45" s="140">
        <f>SUM(F41:F44)</f>
        <v>90.76</v>
      </c>
      <c r="G45" s="12"/>
      <c r="H45" s="11"/>
      <c r="I45" s="11"/>
      <c r="K45" s="13"/>
      <c r="L45" s="11"/>
      <c r="M45" s="11"/>
      <c r="N45" s="143"/>
      <c r="O45" s="27"/>
      <c r="P45" s="27"/>
      <c r="Q45" s="27"/>
      <c r="R45" s="145">
        <f>SUM(R41:R44)</f>
        <v>19252.455</v>
      </c>
      <c r="S45" s="139"/>
      <c r="T45" s="68">
        <f>SUM(T41:T44)</f>
        <v>23472.455</v>
      </c>
      <c r="U45" s="139">
        <f>T45/F45</f>
        <v>258.62114367562805</v>
      </c>
      <c r="V45" s="161">
        <f>(276*F45)-T45</f>
        <v>1577.3050000000003</v>
      </c>
    </row>
    <row r="46" spans="1:22" ht="15">
      <c r="A46" s="14"/>
      <c r="C46" s="72"/>
      <c r="D46" s="43"/>
      <c r="E46" s="11"/>
      <c r="F46" s="57"/>
      <c r="G46" s="12"/>
      <c r="H46" s="11"/>
      <c r="I46" s="11"/>
      <c r="K46" s="13"/>
      <c r="L46" s="11"/>
      <c r="M46" s="11"/>
      <c r="O46" s="27"/>
      <c r="P46" s="27"/>
      <c r="Q46" s="27"/>
      <c r="R46" s="31"/>
      <c r="S46" s="26"/>
      <c r="T46" s="33"/>
      <c r="U46" s="26"/>
      <c r="V46" s="26"/>
    </row>
    <row r="47" spans="1:22" ht="15.75">
      <c r="A47" s="71" t="s">
        <v>221</v>
      </c>
      <c r="C47" s="72"/>
      <c r="D47" s="172" t="s">
        <v>220</v>
      </c>
      <c r="E47" s="173">
        <v>260</v>
      </c>
      <c r="F47" s="57"/>
      <c r="G47" s="12"/>
      <c r="H47" s="11"/>
      <c r="I47" s="11"/>
      <c r="K47" s="13"/>
      <c r="L47" s="11"/>
      <c r="M47" s="11"/>
      <c r="O47" s="27"/>
      <c r="P47" s="27"/>
      <c r="Q47" s="27"/>
      <c r="R47" s="31"/>
      <c r="S47" s="26"/>
      <c r="T47" s="33"/>
      <c r="U47" s="26"/>
      <c r="V47" s="26"/>
    </row>
    <row r="48" spans="1:22" ht="15">
      <c r="A48" s="14">
        <v>1</v>
      </c>
      <c r="B48" s="11">
        <v>91115</v>
      </c>
      <c r="C48" s="72" t="s">
        <v>116</v>
      </c>
      <c r="D48" s="73" t="s">
        <v>216</v>
      </c>
      <c r="E48" s="11">
        <v>40</v>
      </c>
      <c r="F48" s="57">
        <v>23</v>
      </c>
      <c r="G48" s="12" t="s">
        <v>21</v>
      </c>
      <c r="H48" s="11" t="s">
        <v>50</v>
      </c>
      <c r="I48" s="11" t="s">
        <v>217</v>
      </c>
      <c r="J48" s="11" t="s">
        <v>218</v>
      </c>
      <c r="K48" s="171" t="s">
        <v>36</v>
      </c>
      <c r="L48" s="11">
        <v>305704</v>
      </c>
      <c r="M48" s="169"/>
      <c r="N48" s="170"/>
      <c r="O48" s="27">
        <v>0</v>
      </c>
      <c r="P48" s="27">
        <v>195</v>
      </c>
      <c r="Q48" s="27">
        <f>(200*F48)-195</f>
        <v>4405</v>
      </c>
      <c r="R48" s="31">
        <f t="shared" si="13"/>
        <v>4600</v>
      </c>
      <c r="S48" s="26">
        <v>1045</v>
      </c>
      <c r="T48" s="33">
        <f t="shared" si="14"/>
        <v>5645</v>
      </c>
      <c r="U48" s="26">
        <f t="shared" si="15"/>
        <v>245.43478260869566</v>
      </c>
      <c r="V48" s="26">
        <f>260-U48</f>
        <v>14.565217391304344</v>
      </c>
    </row>
    <row r="49" spans="1:22" ht="15">
      <c r="A49" s="14">
        <f t="shared" si="16"/>
        <v>2</v>
      </c>
      <c r="B49" s="11">
        <v>91115</v>
      </c>
      <c r="C49" s="72" t="s">
        <v>116</v>
      </c>
      <c r="D49" s="73" t="s">
        <v>214</v>
      </c>
      <c r="E49" s="11">
        <v>40</v>
      </c>
      <c r="F49" s="57">
        <v>23</v>
      </c>
      <c r="G49" s="12" t="s">
        <v>21</v>
      </c>
      <c r="H49" s="11" t="s">
        <v>50</v>
      </c>
      <c r="I49" s="11" t="s">
        <v>217</v>
      </c>
      <c r="J49" s="11" t="s">
        <v>218</v>
      </c>
      <c r="K49" s="171"/>
      <c r="L49" s="11">
        <v>305703</v>
      </c>
      <c r="M49" s="169"/>
      <c r="N49" s="170"/>
      <c r="O49" s="27">
        <v>0</v>
      </c>
      <c r="P49" s="27">
        <v>195</v>
      </c>
      <c r="Q49" s="27">
        <f aca="true" t="shared" si="17" ref="Q49:Q74">(200*F49)-195</f>
        <v>4405</v>
      </c>
      <c r="R49" s="31">
        <f aca="true" t="shared" si="18" ref="R49:R74">O49+P49+Q49</f>
        <v>4600</v>
      </c>
      <c r="S49" s="26">
        <v>1045</v>
      </c>
      <c r="T49" s="33">
        <f aca="true" t="shared" si="19" ref="T49:T74">R49+S49</f>
        <v>5645</v>
      </c>
      <c r="U49" s="26">
        <f aca="true" t="shared" si="20" ref="U49:U74">T49/F49</f>
        <v>245.43478260869566</v>
      </c>
      <c r="V49" s="26">
        <f>260-U49</f>
        <v>14.565217391304344</v>
      </c>
    </row>
    <row r="50" spans="1:22" ht="15">
      <c r="A50" s="14">
        <f t="shared" si="16"/>
        <v>3</v>
      </c>
      <c r="B50" s="11">
        <v>91115</v>
      </c>
      <c r="C50" s="72" t="s">
        <v>116</v>
      </c>
      <c r="D50" s="73" t="s">
        <v>215</v>
      </c>
      <c r="E50" s="11">
        <v>40</v>
      </c>
      <c r="F50" s="57">
        <v>23</v>
      </c>
      <c r="G50" s="12" t="s">
        <v>21</v>
      </c>
      <c r="H50" s="11" t="s">
        <v>50</v>
      </c>
      <c r="I50" s="11" t="s">
        <v>217</v>
      </c>
      <c r="J50" s="11" t="s">
        <v>218</v>
      </c>
      <c r="K50" s="171"/>
      <c r="L50" s="11">
        <v>143457</v>
      </c>
      <c r="M50" s="169"/>
      <c r="N50" s="170"/>
      <c r="O50" s="27">
        <v>0</v>
      </c>
      <c r="P50" s="27">
        <v>195</v>
      </c>
      <c r="Q50" s="27">
        <f t="shared" si="17"/>
        <v>4405</v>
      </c>
      <c r="R50" s="31">
        <f t="shared" si="18"/>
        <v>4600</v>
      </c>
      <c r="S50" s="26">
        <v>1045</v>
      </c>
      <c r="T50" s="33">
        <f t="shared" si="19"/>
        <v>5645</v>
      </c>
      <c r="U50" s="26">
        <f t="shared" si="20"/>
        <v>245.43478260869566</v>
      </c>
      <c r="V50" s="26">
        <f aca="true" t="shared" si="21" ref="V50:V91">260-U50</f>
        <v>14.565217391304344</v>
      </c>
    </row>
    <row r="51" spans="1:22" ht="15">
      <c r="A51" s="14">
        <f t="shared" si="16"/>
        <v>4</v>
      </c>
      <c r="B51" s="11">
        <v>91115</v>
      </c>
      <c r="D51" s="43"/>
      <c r="E51" s="11">
        <v>40</v>
      </c>
      <c r="F51" s="57">
        <v>23</v>
      </c>
      <c r="G51" s="12" t="s">
        <v>22</v>
      </c>
      <c r="H51" s="11" t="s">
        <v>50</v>
      </c>
      <c r="I51" s="11" t="s">
        <v>49</v>
      </c>
      <c r="K51" s="13" t="s">
        <v>105</v>
      </c>
      <c r="L51" s="11"/>
      <c r="M51" s="11"/>
      <c r="O51" s="27">
        <v>0</v>
      </c>
      <c r="P51" s="27">
        <v>195</v>
      </c>
      <c r="Q51" s="27">
        <f t="shared" si="17"/>
        <v>4405</v>
      </c>
      <c r="R51" s="31">
        <f t="shared" si="18"/>
        <v>4600</v>
      </c>
      <c r="S51" s="26">
        <v>1045</v>
      </c>
      <c r="T51" s="33">
        <f t="shared" si="19"/>
        <v>5645</v>
      </c>
      <c r="U51" s="26">
        <f t="shared" si="20"/>
        <v>245.43478260869566</v>
      </c>
      <c r="V51" s="26">
        <f t="shared" si="21"/>
        <v>14.565217391304344</v>
      </c>
    </row>
    <row r="52" spans="1:25" ht="15">
      <c r="A52" s="14">
        <f t="shared" si="16"/>
        <v>5</v>
      </c>
      <c r="B52" s="11">
        <v>91115</v>
      </c>
      <c r="D52" s="43"/>
      <c r="E52" s="11">
        <v>40</v>
      </c>
      <c r="F52" s="57">
        <v>23</v>
      </c>
      <c r="G52" s="12" t="s">
        <v>22</v>
      </c>
      <c r="H52" s="11" t="s">
        <v>50</v>
      </c>
      <c r="I52" s="11" t="s">
        <v>49</v>
      </c>
      <c r="K52" s="13" t="s">
        <v>105</v>
      </c>
      <c r="O52" s="27">
        <v>0</v>
      </c>
      <c r="P52" s="27">
        <v>195</v>
      </c>
      <c r="Q52" s="27">
        <f t="shared" si="17"/>
        <v>4405</v>
      </c>
      <c r="R52" s="31">
        <f t="shared" si="18"/>
        <v>4600</v>
      </c>
      <c r="S52" s="26">
        <v>1045</v>
      </c>
      <c r="T52" s="33">
        <f t="shared" si="19"/>
        <v>5645</v>
      </c>
      <c r="U52" s="26">
        <f t="shared" si="20"/>
        <v>245.43478260869566</v>
      </c>
      <c r="V52" s="26">
        <f t="shared" si="21"/>
        <v>14.565217391304344</v>
      </c>
      <c r="X52" t="s">
        <v>36</v>
      </c>
      <c r="Y52" t="s">
        <v>36</v>
      </c>
    </row>
    <row r="53" spans="1:22" ht="15">
      <c r="A53" s="14">
        <f t="shared" si="16"/>
        <v>6</v>
      </c>
      <c r="B53" s="11">
        <v>91115</v>
      </c>
      <c r="D53" s="43"/>
      <c r="E53" s="11">
        <v>40</v>
      </c>
      <c r="F53" s="57">
        <v>23</v>
      </c>
      <c r="G53" s="12" t="s">
        <v>22</v>
      </c>
      <c r="H53" s="11" t="s">
        <v>50</v>
      </c>
      <c r="I53" s="11" t="s">
        <v>49</v>
      </c>
      <c r="K53" s="13" t="s">
        <v>105</v>
      </c>
      <c r="O53" s="27">
        <v>0</v>
      </c>
      <c r="P53" s="27">
        <v>195</v>
      </c>
      <c r="Q53" s="27">
        <f t="shared" si="17"/>
        <v>4405</v>
      </c>
      <c r="R53" s="31">
        <f t="shared" si="18"/>
        <v>4600</v>
      </c>
      <c r="S53" s="26">
        <v>1045</v>
      </c>
      <c r="T53" s="33">
        <f t="shared" si="19"/>
        <v>5645</v>
      </c>
      <c r="U53" s="26">
        <f t="shared" si="20"/>
        <v>245.43478260869566</v>
      </c>
      <c r="V53" s="26">
        <f t="shared" si="21"/>
        <v>14.565217391304344</v>
      </c>
    </row>
    <row r="54" spans="1:22" ht="15">
      <c r="A54" s="14">
        <f t="shared" si="16"/>
        <v>7</v>
      </c>
      <c r="B54" s="11">
        <v>91115</v>
      </c>
      <c r="D54" s="43"/>
      <c r="E54" s="11">
        <v>40</v>
      </c>
      <c r="F54" s="57">
        <v>23</v>
      </c>
      <c r="G54" s="12" t="s">
        <v>22</v>
      </c>
      <c r="H54" s="11" t="s">
        <v>50</v>
      </c>
      <c r="I54" s="11" t="s">
        <v>49</v>
      </c>
      <c r="K54" s="13" t="s">
        <v>105</v>
      </c>
      <c r="O54" s="27">
        <v>0</v>
      </c>
      <c r="P54" s="27">
        <v>195</v>
      </c>
      <c r="Q54" s="27">
        <f t="shared" si="17"/>
        <v>4405</v>
      </c>
      <c r="R54" s="31">
        <f t="shared" si="18"/>
        <v>4600</v>
      </c>
      <c r="S54" s="26">
        <v>1045</v>
      </c>
      <c r="T54" s="33">
        <f t="shared" si="19"/>
        <v>5645</v>
      </c>
      <c r="U54" s="26">
        <f t="shared" si="20"/>
        <v>245.43478260869566</v>
      </c>
      <c r="V54" s="26">
        <f t="shared" si="21"/>
        <v>14.565217391304344</v>
      </c>
    </row>
    <row r="55" spans="1:22" ht="15">
      <c r="A55" s="14">
        <f t="shared" si="16"/>
        <v>8</v>
      </c>
      <c r="B55" s="11">
        <v>91115</v>
      </c>
      <c r="D55" s="43"/>
      <c r="E55" s="11">
        <v>40</v>
      </c>
      <c r="F55" s="57">
        <v>23</v>
      </c>
      <c r="G55" s="12" t="s">
        <v>22</v>
      </c>
      <c r="H55" s="11" t="s">
        <v>50</v>
      </c>
      <c r="I55" s="11" t="s">
        <v>49</v>
      </c>
      <c r="K55" s="13" t="s">
        <v>105</v>
      </c>
      <c r="O55" s="27">
        <v>0</v>
      </c>
      <c r="P55" s="27">
        <v>195</v>
      </c>
      <c r="Q55" s="27">
        <f t="shared" si="17"/>
        <v>4405</v>
      </c>
      <c r="R55" s="31">
        <f t="shared" si="18"/>
        <v>4600</v>
      </c>
      <c r="S55" s="26">
        <v>1045</v>
      </c>
      <c r="T55" s="33">
        <f t="shared" si="19"/>
        <v>5645</v>
      </c>
      <c r="U55" s="26">
        <f t="shared" si="20"/>
        <v>245.43478260869566</v>
      </c>
      <c r="V55" s="26">
        <f t="shared" si="21"/>
        <v>14.565217391304344</v>
      </c>
    </row>
    <row r="56" spans="1:22" ht="15">
      <c r="A56" s="14">
        <f t="shared" si="16"/>
        <v>9</v>
      </c>
      <c r="B56" s="11">
        <v>91115</v>
      </c>
      <c r="D56" s="43"/>
      <c r="E56" s="11">
        <v>40</v>
      </c>
      <c r="F56" s="57">
        <v>23</v>
      </c>
      <c r="G56" s="12" t="s">
        <v>22</v>
      </c>
      <c r="H56" s="11" t="s">
        <v>50</v>
      </c>
      <c r="I56" s="11" t="s">
        <v>49</v>
      </c>
      <c r="K56" s="13" t="s">
        <v>105</v>
      </c>
      <c r="O56" s="27">
        <v>0</v>
      </c>
      <c r="P56" s="27">
        <v>195</v>
      </c>
      <c r="Q56" s="27">
        <f t="shared" si="17"/>
        <v>4405</v>
      </c>
      <c r="R56" s="31">
        <f t="shared" si="18"/>
        <v>4600</v>
      </c>
      <c r="S56" s="26">
        <v>1045</v>
      </c>
      <c r="T56" s="33">
        <f t="shared" si="19"/>
        <v>5645</v>
      </c>
      <c r="U56" s="26">
        <f t="shared" si="20"/>
        <v>245.43478260869566</v>
      </c>
      <c r="V56" s="26">
        <f t="shared" si="21"/>
        <v>14.565217391304344</v>
      </c>
    </row>
    <row r="57" spans="1:22" ht="15">
      <c r="A57" s="14">
        <f t="shared" si="16"/>
        <v>10</v>
      </c>
      <c r="B57" s="11">
        <v>91115</v>
      </c>
      <c r="D57" s="43"/>
      <c r="E57" s="11">
        <v>40</v>
      </c>
      <c r="F57" s="57">
        <v>23</v>
      </c>
      <c r="G57" s="12" t="s">
        <v>22</v>
      </c>
      <c r="H57" s="11" t="s">
        <v>50</v>
      </c>
      <c r="I57" s="11" t="s">
        <v>49</v>
      </c>
      <c r="K57" s="13" t="s">
        <v>105</v>
      </c>
      <c r="O57" s="27">
        <v>0</v>
      </c>
      <c r="P57" s="27">
        <v>195</v>
      </c>
      <c r="Q57" s="27">
        <f t="shared" si="17"/>
        <v>4405</v>
      </c>
      <c r="R57" s="31">
        <f t="shared" si="18"/>
        <v>4600</v>
      </c>
      <c r="S57" s="26">
        <v>1045</v>
      </c>
      <c r="T57" s="33">
        <f t="shared" si="19"/>
        <v>5645</v>
      </c>
      <c r="U57" s="26">
        <f t="shared" si="20"/>
        <v>245.43478260869566</v>
      </c>
      <c r="V57" s="26">
        <f t="shared" si="21"/>
        <v>14.565217391304344</v>
      </c>
    </row>
    <row r="58" spans="1:22" ht="15">
      <c r="A58" s="14">
        <f t="shared" si="16"/>
        <v>11</v>
      </c>
      <c r="B58" s="11">
        <v>91115</v>
      </c>
      <c r="D58" s="43"/>
      <c r="E58" s="11">
        <v>40</v>
      </c>
      <c r="F58" s="57">
        <v>23</v>
      </c>
      <c r="G58" s="12" t="s">
        <v>22</v>
      </c>
      <c r="H58" s="11" t="s">
        <v>50</v>
      </c>
      <c r="I58" s="11" t="s">
        <v>49</v>
      </c>
      <c r="J58" t="s">
        <v>36</v>
      </c>
      <c r="K58" s="13" t="s">
        <v>105</v>
      </c>
      <c r="O58" s="27">
        <v>0</v>
      </c>
      <c r="P58" s="27">
        <v>195</v>
      </c>
      <c r="Q58" s="27">
        <f t="shared" si="17"/>
        <v>4405</v>
      </c>
      <c r="R58" s="31">
        <f t="shared" si="18"/>
        <v>4600</v>
      </c>
      <c r="S58" s="26">
        <v>1045</v>
      </c>
      <c r="T58" s="33">
        <f t="shared" si="19"/>
        <v>5645</v>
      </c>
      <c r="U58" s="26">
        <f t="shared" si="20"/>
        <v>245.43478260869566</v>
      </c>
      <c r="V58" s="26">
        <f t="shared" si="21"/>
        <v>14.565217391304344</v>
      </c>
    </row>
    <row r="59" spans="1:22" ht="15">
      <c r="A59" s="14">
        <f t="shared" si="16"/>
        <v>12</v>
      </c>
      <c r="B59" s="11">
        <v>91115</v>
      </c>
      <c r="D59" s="43"/>
      <c r="E59" s="11">
        <v>40</v>
      </c>
      <c r="F59" s="57">
        <v>23</v>
      </c>
      <c r="G59" s="12" t="s">
        <v>22</v>
      </c>
      <c r="H59" s="11" t="s">
        <v>50</v>
      </c>
      <c r="I59" s="11" t="s">
        <v>49</v>
      </c>
      <c r="K59" s="13" t="s">
        <v>105</v>
      </c>
      <c r="O59" s="27">
        <v>0</v>
      </c>
      <c r="P59" s="27">
        <v>195</v>
      </c>
      <c r="Q59" s="27">
        <f t="shared" si="17"/>
        <v>4405</v>
      </c>
      <c r="R59" s="31">
        <f t="shared" si="18"/>
        <v>4600</v>
      </c>
      <c r="S59" s="26">
        <v>1045</v>
      </c>
      <c r="T59" s="33">
        <f t="shared" si="19"/>
        <v>5645</v>
      </c>
      <c r="U59" s="26">
        <f t="shared" si="20"/>
        <v>245.43478260869566</v>
      </c>
      <c r="V59" s="26">
        <f t="shared" si="21"/>
        <v>14.565217391304344</v>
      </c>
    </row>
    <row r="60" spans="1:22" ht="15">
      <c r="A60" s="14">
        <f t="shared" si="16"/>
        <v>13</v>
      </c>
      <c r="B60" s="11">
        <v>91115</v>
      </c>
      <c r="D60" s="43"/>
      <c r="E60" s="11">
        <v>40</v>
      </c>
      <c r="F60" s="57">
        <v>23</v>
      </c>
      <c r="G60" s="12" t="s">
        <v>22</v>
      </c>
      <c r="H60" s="11" t="s">
        <v>50</v>
      </c>
      <c r="I60" s="11" t="s">
        <v>49</v>
      </c>
      <c r="K60" s="13" t="s">
        <v>105</v>
      </c>
      <c r="O60" s="27">
        <v>0</v>
      </c>
      <c r="P60" s="27">
        <v>195</v>
      </c>
      <c r="Q60" s="27">
        <f t="shared" si="17"/>
        <v>4405</v>
      </c>
      <c r="R60" s="31">
        <f t="shared" si="18"/>
        <v>4600</v>
      </c>
      <c r="S60" s="26">
        <v>1045</v>
      </c>
      <c r="T60" s="33">
        <f t="shared" si="19"/>
        <v>5645</v>
      </c>
      <c r="U60" s="26">
        <f t="shared" si="20"/>
        <v>245.43478260869566</v>
      </c>
      <c r="V60" s="26">
        <f t="shared" si="21"/>
        <v>14.565217391304344</v>
      </c>
    </row>
    <row r="61" spans="1:22" ht="15">
      <c r="A61" s="14">
        <f t="shared" si="16"/>
        <v>14</v>
      </c>
      <c r="B61" s="11">
        <v>91115</v>
      </c>
      <c r="D61" s="43"/>
      <c r="E61" s="11">
        <v>40</v>
      </c>
      <c r="F61" s="57">
        <v>23</v>
      </c>
      <c r="G61" s="12" t="s">
        <v>22</v>
      </c>
      <c r="H61" s="11" t="s">
        <v>50</v>
      </c>
      <c r="I61" s="11" t="s">
        <v>49</v>
      </c>
      <c r="K61" s="13" t="s">
        <v>105</v>
      </c>
      <c r="O61" s="27">
        <v>0</v>
      </c>
      <c r="P61" s="27">
        <v>195</v>
      </c>
      <c r="Q61" s="27">
        <f t="shared" si="17"/>
        <v>4405</v>
      </c>
      <c r="R61" s="31">
        <f t="shared" si="18"/>
        <v>4600</v>
      </c>
      <c r="S61" s="26">
        <v>1045</v>
      </c>
      <c r="T61" s="33">
        <f t="shared" si="19"/>
        <v>5645</v>
      </c>
      <c r="U61" s="26">
        <f t="shared" si="20"/>
        <v>245.43478260869566</v>
      </c>
      <c r="V61" s="26">
        <f t="shared" si="21"/>
        <v>14.565217391304344</v>
      </c>
    </row>
    <row r="62" spans="1:22" ht="15">
      <c r="A62" s="14">
        <f t="shared" si="16"/>
        <v>15</v>
      </c>
      <c r="B62" s="11">
        <v>91115</v>
      </c>
      <c r="D62" s="43"/>
      <c r="E62" s="11">
        <v>40</v>
      </c>
      <c r="F62" s="57">
        <v>23</v>
      </c>
      <c r="G62" s="12" t="s">
        <v>22</v>
      </c>
      <c r="H62" s="11" t="s">
        <v>50</v>
      </c>
      <c r="I62" s="11" t="s">
        <v>49</v>
      </c>
      <c r="K62" s="13" t="s">
        <v>105</v>
      </c>
      <c r="O62" s="27">
        <v>0</v>
      </c>
      <c r="P62" s="27">
        <v>195</v>
      </c>
      <c r="Q62" s="27">
        <f t="shared" si="17"/>
        <v>4405</v>
      </c>
      <c r="R62" s="31">
        <f t="shared" si="18"/>
        <v>4600</v>
      </c>
      <c r="S62" s="26">
        <v>1045</v>
      </c>
      <c r="T62" s="33">
        <f t="shared" si="19"/>
        <v>5645</v>
      </c>
      <c r="U62" s="26">
        <f t="shared" si="20"/>
        <v>245.43478260869566</v>
      </c>
      <c r="V62" s="26">
        <f t="shared" si="21"/>
        <v>14.565217391304344</v>
      </c>
    </row>
    <row r="63" spans="1:27" ht="15">
      <c r="A63" s="14">
        <f t="shared" si="16"/>
        <v>16</v>
      </c>
      <c r="B63" s="11">
        <v>91115</v>
      </c>
      <c r="D63" s="43"/>
      <c r="E63" s="11">
        <v>40</v>
      </c>
      <c r="F63" s="57">
        <v>23</v>
      </c>
      <c r="G63" s="12" t="s">
        <v>22</v>
      </c>
      <c r="H63" s="11" t="s">
        <v>50</v>
      </c>
      <c r="I63" s="11" t="s">
        <v>49</v>
      </c>
      <c r="K63" s="13" t="s">
        <v>105</v>
      </c>
      <c r="O63" s="27">
        <v>0</v>
      </c>
      <c r="P63" s="27">
        <v>195</v>
      </c>
      <c r="Q63" s="27">
        <f t="shared" si="17"/>
        <v>4405</v>
      </c>
      <c r="R63" s="31">
        <f t="shared" si="18"/>
        <v>4600</v>
      </c>
      <c r="S63" s="26">
        <v>1045</v>
      </c>
      <c r="T63" s="33">
        <f t="shared" si="19"/>
        <v>5645</v>
      </c>
      <c r="U63" s="26">
        <f t="shared" si="20"/>
        <v>245.43478260869566</v>
      </c>
      <c r="V63" s="26">
        <f t="shared" si="21"/>
        <v>14.565217391304344</v>
      </c>
      <c r="AA63" t="s">
        <v>36</v>
      </c>
    </row>
    <row r="64" spans="1:22" ht="15">
      <c r="A64" s="14">
        <f t="shared" si="16"/>
        <v>17</v>
      </c>
      <c r="B64" s="11">
        <v>91115</v>
      </c>
      <c r="D64" s="43"/>
      <c r="E64" s="11">
        <v>40</v>
      </c>
      <c r="F64" s="57">
        <v>23</v>
      </c>
      <c r="G64" s="12" t="s">
        <v>22</v>
      </c>
      <c r="H64" s="11" t="s">
        <v>50</v>
      </c>
      <c r="I64" s="11" t="s">
        <v>49</v>
      </c>
      <c r="K64" s="13" t="s">
        <v>105</v>
      </c>
      <c r="O64" s="27">
        <v>0</v>
      </c>
      <c r="P64" s="27">
        <v>195</v>
      </c>
      <c r="Q64" s="27">
        <f t="shared" si="17"/>
        <v>4405</v>
      </c>
      <c r="R64" s="31">
        <f t="shared" si="18"/>
        <v>4600</v>
      </c>
      <c r="S64" s="26">
        <v>1045</v>
      </c>
      <c r="T64" s="33">
        <f t="shared" si="19"/>
        <v>5645</v>
      </c>
      <c r="U64" s="26">
        <f t="shared" si="20"/>
        <v>245.43478260869566</v>
      </c>
      <c r="V64" s="26">
        <f t="shared" si="21"/>
        <v>14.565217391304344</v>
      </c>
    </row>
    <row r="65" spans="1:22" ht="15">
      <c r="A65" s="14">
        <f t="shared" si="16"/>
        <v>18</v>
      </c>
      <c r="B65" s="11">
        <v>91115</v>
      </c>
      <c r="D65" s="43"/>
      <c r="E65" s="11">
        <v>40</v>
      </c>
      <c r="F65" s="57">
        <v>23</v>
      </c>
      <c r="G65" s="12" t="s">
        <v>22</v>
      </c>
      <c r="H65" s="11" t="s">
        <v>50</v>
      </c>
      <c r="I65" s="11" t="s">
        <v>49</v>
      </c>
      <c r="K65" s="13" t="s">
        <v>105</v>
      </c>
      <c r="O65" s="27">
        <v>0</v>
      </c>
      <c r="P65" s="27">
        <v>195</v>
      </c>
      <c r="Q65" s="27">
        <f t="shared" si="17"/>
        <v>4405</v>
      </c>
      <c r="R65" s="31">
        <f t="shared" si="18"/>
        <v>4600</v>
      </c>
      <c r="S65" s="26">
        <v>1045</v>
      </c>
      <c r="T65" s="33">
        <f t="shared" si="19"/>
        <v>5645</v>
      </c>
      <c r="U65" s="26">
        <f t="shared" si="20"/>
        <v>245.43478260869566</v>
      </c>
      <c r="V65" s="26">
        <f t="shared" si="21"/>
        <v>14.565217391304344</v>
      </c>
    </row>
    <row r="66" spans="1:22" ht="15">
      <c r="A66" s="14">
        <f t="shared" si="16"/>
        <v>19</v>
      </c>
      <c r="B66" s="11">
        <v>91115</v>
      </c>
      <c r="D66" s="43"/>
      <c r="E66" s="11">
        <v>40</v>
      </c>
      <c r="F66" s="57">
        <v>23</v>
      </c>
      <c r="G66" s="12" t="s">
        <v>22</v>
      </c>
      <c r="H66" s="11" t="s">
        <v>50</v>
      </c>
      <c r="I66" s="11" t="s">
        <v>49</v>
      </c>
      <c r="K66" s="13" t="s">
        <v>105</v>
      </c>
      <c r="O66" s="27">
        <v>0</v>
      </c>
      <c r="P66" s="27">
        <v>195</v>
      </c>
      <c r="Q66" s="27">
        <f t="shared" si="17"/>
        <v>4405</v>
      </c>
      <c r="R66" s="31">
        <f t="shared" si="18"/>
        <v>4600</v>
      </c>
      <c r="S66" s="26">
        <v>1045</v>
      </c>
      <c r="T66" s="33">
        <f t="shared" si="19"/>
        <v>5645</v>
      </c>
      <c r="U66" s="26">
        <f t="shared" si="20"/>
        <v>245.43478260869566</v>
      </c>
      <c r="V66" s="26">
        <f t="shared" si="21"/>
        <v>14.565217391304344</v>
      </c>
    </row>
    <row r="67" spans="1:22" ht="15">
      <c r="A67" s="14">
        <f t="shared" si="16"/>
        <v>20</v>
      </c>
      <c r="B67" s="11">
        <v>91115</v>
      </c>
      <c r="D67" s="43"/>
      <c r="E67" s="11">
        <v>40</v>
      </c>
      <c r="F67" s="57">
        <v>23</v>
      </c>
      <c r="G67" s="12" t="s">
        <v>22</v>
      </c>
      <c r="H67" s="11" t="s">
        <v>50</v>
      </c>
      <c r="I67" s="11" t="s">
        <v>49</v>
      </c>
      <c r="K67" s="13" t="s">
        <v>105</v>
      </c>
      <c r="O67" s="27">
        <v>0</v>
      </c>
      <c r="P67" s="27">
        <v>195</v>
      </c>
      <c r="Q67" s="27">
        <f t="shared" si="17"/>
        <v>4405</v>
      </c>
      <c r="R67" s="31">
        <f t="shared" si="18"/>
        <v>4600</v>
      </c>
      <c r="S67" s="26">
        <v>1045</v>
      </c>
      <c r="T67" s="33">
        <f t="shared" si="19"/>
        <v>5645</v>
      </c>
      <c r="U67" s="26">
        <f t="shared" si="20"/>
        <v>245.43478260869566</v>
      </c>
      <c r="V67" s="26">
        <f t="shared" si="21"/>
        <v>14.565217391304344</v>
      </c>
    </row>
    <row r="68" spans="1:22" ht="15">
      <c r="A68" s="14">
        <f t="shared" si="16"/>
        <v>21</v>
      </c>
      <c r="B68" s="11">
        <v>91115</v>
      </c>
      <c r="D68" s="43"/>
      <c r="E68" s="11">
        <v>40</v>
      </c>
      <c r="F68" s="57">
        <v>23</v>
      </c>
      <c r="G68" s="12" t="s">
        <v>22</v>
      </c>
      <c r="H68" s="11" t="s">
        <v>50</v>
      </c>
      <c r="I68" s="11" t="s">
        <v>49</v>
      </c>
      <c r="K68" s="13" t="s">
        <v>105</v>
      </c>
      <c r="O68" s="27">
        <v>0</v>
      </c>
      <c r="P68" s="27">
        <v>195</v>
      </c>
      <c r="Q68" s="27">
        <f t="shared" si="17"/>
        <v>4405</v>
      </c>
      <c r="R68" s="31">
        <f t="shared" si="18"/>
        <v>4600</v>
      </c>
      <c r="S68" s="26">
        <v>1045</v>
      </c>
      <c r="T68" s="33">
        <f t="shared" si="19"/>
        <v>5645</v>
      </c>
      <c r="U68" s="26">
        <f t="shared" si="20"/>
        <v>245.43478260869566</v>
      </c>
      <c r="V68" s="26">
        <f t="shared" si="21"/>
        <v>14.565217391304344</v>
      </c>
    </row>
    <row r="69" spans="1:22" ht="15">
      <c r="A69" s="14">
        <f t="shared" si="16"/>
        <v>22</v>
      </c>
      <c r="B69" s="11">
        <v>91115</v>
      </c>
      <c r="D69" s="43"/>
      <c r="E69" s="11">
        <v>40</v>
      </c>
      <c r="F69" s="57">
        <v>23</v>
      </c>
      <c r="G69" s="12" t="s">
        <v>22</v>
      </c>
      <c r="H69" s="11" t="s">
        <v>50</v>
      </c>
      <c r="I69" s="11" t="s">
        <v>49</v>
      </c>
      <c r="K69" s="13" t="s">
        <v>105</v>
      </c>
      <c r="O69" s="27">
        <v>0</v>
      </c>
      <c r="P69" s="27">
        <v>195</v>
      </c>
      <c r="Q69" s="27">
        <f t="shared" si="17"/>
        <v>4405</v>
      </c>
      <c r="R69" s="31">
        <f t="shared" si="18"/>
        <v>4600</v>
      </c>
      <c r="S69" s="26">
        <v>1045</v>
      </c>
      <c r="T69" s="33">
        <f t="shared" si="19"/>
        <v>5645</v>
      </c>
      <c r="U69" s="26">
        <f t="shared" si="20"/>
        <v>245.43478260869566</v>
      </c>
      <c r="V69" s="26">
        <f t="shared" si="21"/>
        <v>14.565217391304344</v>
      </c>
    </row>
    <row r="70" spans="1:22" ht="15">
      <c r="A70" s="14">
        <f t="shared" si="16"/>
        <v>23</v>
      </c>
      <c r="B70" s="11">
        <v>91115</v>
      </c>
      <c r="D70" s="43"/>
      <c r="E70" s="11">
        <v>40</v>
      </c>
      <c r="F70" s="57">
        <v>23</v>
      </c>
      <c r="G70" s="12" t="s">
        <v>22</v>
      </c>
      <c r="H70" s="11" t="s">
        <v>50</v>
      </c>
      <c r="I70" s="11" t="s">
        <v>49</v>
      </c>
      <c r="K70" s="13" t="s">
        <v>105</v>
      </c>
      <c r="O70" s="27">
        <v>0</v>
      </c>
      <c r="P70" s="27">
        <v>195</v>
      </c>
      <c r="Q70" s="27">
        <f t="shared" si="17"/>
        <v>4405</v>
      </c>
      <c r="R70" s="31">
        <f t="shared" si="18"/>
        <v>4600</v>
      </c>
      <c r="S70" s="26">
        <v>1045</v>
      </c>
      <c r="T70" s="33">
        <f t="shared" si="19"/>
        <v>5645</v>
      </c>
      <c r="U70" s="26">
        <f t="shared" si="20"/>
        <v>245.43478260869566</v>
      </c>
      <c r="V70" s="26">
        <f t="shared" si="21"/>
        <v>14.565217391304344</v>
      </c>
    </row>
    <row r="71" spans="1:22" ht="15">
      <c r="A71" s="14">
        <f t="shared" si="16"/>
        <v>24</v>
      </c>
      <c r="B71" s="11">
        <v>91115</v>
      </c>
      <c r="D71" s="43"/>
      <c r="E71" s="11">
        <v>40</v>
      </c>
      <c r="F71" s="57">
        <v>23</v>
      </c>
      <c r="G71" s="12" t="s">
        <v>22</v>
      </c>
      <c r="H71" s="11" t="s">
        <v>50</v>
      </c>
      <c r="I71" s="11" t="s">
        <v>49</v>
      </c>
      <c r="K71" s="13" t="s">
        <v>105</v>
      </c>
      <c r="O71" s="27">
        <v>0</v>
      </c>
      <c r="P71" s="27">
        <v>195</v>
      </c>
      <c r="Q71" s="27">
        <f t="shared" si="17"/>
        <v>4405</v>
      </c>
      <c r="R71" s="31">
        <f t="shared" si="18"/>
        <v>4600</v>
      </c>
      <c r="S71" s="26">
        <v>1045</v>
      </c>
      <c r="T71" s="33">
        <f t="shared" si="19"/>
        <v>5645</v>
      </c>
      <c r="U71" s="26">
        <f t="shared" si="20"/>
        <v>245.43478260869566</v>
      </c>
      <c r="V71" s="26">
        <f t="shared" si="21"/>
        <v>14.565217391304344</v>
      </c>
    </row>
    <row r="72" spans="1:22" ht="15">
      <c r="A72" s="14">
        <f t="shared" si="16"/>
        <v>25</v>
      </c>
      <c r="B72" s="11">
        <v>91115</v>
      </c>
      <c r="D72" s="43"/>
      <c r="E72" s="11">
        <v>40</v>
      </c>
      <c r="F72" s="57">
        <v>23</v>
      </c>
      <c r="G72" s="12" t="s">
        <v>22</v>
      </c>
      <c r="H72" s="11" t="s">
        <v>50</v>
      </c>
      <c r="I72" s="11" t="s">
        <v>49</v>
      </c>
      <c r="K72" s="13" t="s">
        <v>105</v>
      </c>
      <c r="O72" s="27">
        <v>0</v>
      </c>
      <c r="P72" s="27">
        <v>195</v>
      </c>
      <c r="Q72" s="27">
        <f t="shared" si="17"/>
        <v>4405</v>
      </c>
      <c r="R72" s="31">
        <f t="shared" si="18"/>
        <v>4600</v>
      </c>
      <c r="S72" s="26">
        <v>1045</v>
      </c>
      <c r="T72" s="33">
        <f t="shared" si="19"/>
        <v>5645</v>
      </c>
      <c r="U72" s="26">
        <f t="shared" si="20"/>
        <v>245.43478260869566</v>
      </c>
      <c r="V72" s="26">
        <f t="shared" si="21"/>
        <v>14.565217391304344</v>
      </c>
    </row>
    <row r="73" spans="1:22" ht="15">
      <c r="A73" s="14">
        <f t="shared" si="16"/>
        <v>26</v>
      </c>
      <c r="B73" s="11">
        <v>91115</v>
      </c>
      <c r="D73" s="43"/>
      <c r="E73" s="11">
        <v>40</v>
      </c>
      <c r="F73" s="57">
        <v>23</v>
      </c>
      <c r="G73" s="12" t="s">
        <v>22</v>
      </c>
      <c r="H73" s="11" t="s">
        <v>50</v>
      </c>
      <c r="I73" s="11" t="s">
        <v>49</v>
      </c>
      <c r="K73" s="13" t="s">
        <v>105</v>
      </c>
      <c r="O73" s="27">
        <v>0</v>
      </c>
      <c r="P73" s="27">
        <v>195</v>
      </c>
      <c r="Q73" s="27">
        <f t="shared" si="17"/>
        <v>4405</v>
      </c>
      <c r="R73" s="31">
        <f t="shared" si="18"/>
        <v>4600</v>
      </c>
      <c r="S73" s="26">
        <v>1045</v>
      </c>
      <c r="T73" s="33">
        <f t="shared" si="19"/>
        <v>5645</v>
      </c>
      <c r="U73" s="26">
        <f t="shared" si="20"/>
        <v>245.43478260869566</v>
      </c>
      <c r="V73" s="26">
        <f t="shared" si="21"/>
        <v>14.565217391304344</v>
      </c>
    </row>
    <row r="74" spans="1:22" ht="15">
      <c r="A74" s="14">
        <f t="shared" si="16"/>
        <v>27</v>
      </c>
      <c r="B74" s="11">
        <v>91115</v>
      </c>
      <c r="D74" s="43"/>
      <c r="E74" s="11">
        <v>40</v>
      </c>
      <c r="F74" s="57">
        <v>23</v>
      </c>
      <c r="G74" s="12" t="s">
        <v>22</v>
      </c>
      <c r="H74" s="11" t="s">
        <v>50</v>
      </c>
      <c r="I74" s="11" t="s">
        <v>49</v>
      </c>
      <c r="K74" s="13" t="s">
        <v>105</v>
      </c>
      <c r="O74" s="27">
        <v>0</v>
      </c>
      <c r="P74" s="27">
        <v>195</v>
      </c>
      <c r="Q74" s="27">
        <f t="shared" si="17"/>
        <v>4405</v>
      </c>
      <c r="R74" s="31">
        <f t="shared" si="18"/>
        <v>4600</v>
      </c>
      <c r="S74" s="26">
        <v>1045</v>
      </c>
      <c r="T74" s="33">
        <f t="shared" si="19"/>
        <v>5645</v>
      </c>
      <c r="U74" s="26">
        <f t="shared" si="20"/>
        <v>245.43478260869566</v>
      </c>
      <c r="V74" s="26">
        <f t="shared" si="21"/>
        <v>14.565217391304344</v>
      </c>
    </row>
    <row r="75" spans="1:22" ht="15">
      <c r="A75" s="14">
        <f t="shared" si="16"/>
        <v>28</v>
      </c>
      <c r="B75" s="11">
        <v>91115</v>
      </c>
      <c r="D75" s="43"/>
      <c r="E75" s="11">
        <v>40</v>
      </c>
      <c r="F75" s="57">
        <v>23</v>
      </c>
      <c r="G75" s="12" t="s">
        <v>22</v>
      </c>
      <c r="H75" s="11" t="s">
        <v>50</v>
      </c>
      <c r="I75" s="11" t="s">
        <v>49</v>
      </c>
      <c r="K75" s="13" t="s">
        <v>105</v>
      </c>
      <c r="O75" s="27">
        <v>0</v>
      </c>
      <c r="P75" s="27">
        <v>195</v>
      </c>
      <c r="Q75" s="27">
        <f aca="true" t="shared" si="22" ref="Q75:Q91">(200*F75)-195</f>
        <v>4405</v>
      </c>
      <c r="R75" s="31">
        <f aca="true" t="shared" si="23" ref="R75:R91">O75+P75+Q75</f>
        <v>4600</v>
      </c>
      <c r="S75" s="26">
        <v>1045</v>
      </c>
      <c r="T75" s="33">
        <f aca="true" t="shared" si="24" ref="T75:T91">R75+S75</f>
        <v>5645</v>
      </c>
      <c r="U75" s="26">
        <f aca="true" t="shared" si="25" ref="U75:U91">T75/F75</f>
        <v>245.43478260869566</v>
      </c>
      <c r="V75" s="26">
        <f t="shared" si="21"/>
        <v>14.565217391304344</v>
      </c>
    </row>
    <row r="76" spans="1:22" ht="15">
      <c r="A76" s="14">
        <f t="shared" si="16"/>
        <v>29</v>
      </c>
      <c r="B76" s="11">
        <v>91115</v>
      </c>
      <c r="D76" s="43"/>
      <c r="E76" s="11">
        <v>40</v>
      </c>
      <c r="F76" s="57">
        <v>23</v>
      </c>
      <c r="G76" s="12" t="s">
        <v>22</v>
      </c>
      <c r="H76" s="11" t="s">
        <v>50</v>
      </c>
      <c r="I76" s="11" t="s">
        <v>49</v>
      </c>
      <c r="K76" s="13" t="s">
        <v>105</v>
      </c>
      <c r="O76" s="27">
        <v>0</v>
      </c>
      <c r="P76" s="27">
        <v>195</v>
      </c>
      <c r="Q76" s="27">
        <f t="shared" si="22"/>
        <v>4405</v>
      </c>
      <c r="R76" s="31">
        <f t="shared" si="23"/>
        <v>4600</v>
      </c>
      <c r="S76" s="26">
        <v>1045</v>
      </c>
      <c r="T76" s="33">
        <f t="shared" si="24"/>
        <v>5645</v>
      </c>
      <c r="U76" s="26">
        <f t="shared" si="25"/>
        <v>245.43478260869566</v>
      </c>
      <c r="V76" s="26">
        <f t="shared" si="21"/>
        <v>14.565217391304344</v>
      </c>
    </row>
    <row r="77" spans="1:22" ht="15">
      <c r="A77" s="14">
        <f t="shared" si="16"/>
        <v>30</v>
      </c>
      <c r="B77" s="11">
        <v>91115</v>
      </c>
      <c r="D77" s="43"/>
      <c r="E77" s="11">
        <v>40</v>
      </c>
      <c r="F77" s="57">
        <v>23</v>
      </c>
      <c r="G77" s="12" t="s">
        <v>22</v>
      </c>
      <c r="H77" s="11" t="s">
        <v>50</v>
      </c>
      <c r="I77" s="11" t="s">
        <v>49</v>
      </c>
      <c r="K77" s="13" t="s">
        <v>105</v>
      </c>
      <c r="O77" s="27">
        <v>0</v>
      </c>
      <c r="P77" s="27">
        <v>195</v>
      </c>
      <c r="Q77" s="27">
        <f t="shared" si="22"/>
        <v>4405</v>
      </c>
      <c r="R77" s="31">
        <f t="shared" si="23"/>
        <v>4600</v>
      </c>
      <c r="S77" s="26">
        <v>1045</v>
      </c>
      <c r="T77" s="33">
        <f t="shared" si="24"/>
        <v>5645</v>
      </c>
      <c r="U77" s="26">
        <f t="shared" si="25"/>
        <v>245.43478260869566</v>
      </c>
      <c r="V77" s="26">
        <f t="shared" si="21"/>
        <v>14.565217391304344</v>
      </c>
    </row>
    <row r="78" spans="1:22" ht="15">
      <c r="A78" s="14">
        <f t="shared" si="16"/>
        <v>31</v>
      </c>
      <c r="B78" s="11">
        <v>91115</v>
      </c>
      <c r="D78" s="43"/>
      <c r="E78" s="11">
        <v>40</v>
      </c>
      <c r="F78" s="57">
        <v>23</v>
      </c>
      <c r="G78" s="12" t="s">
        <v>22</v>
      </c>
      <c r="H78" s="11" t="s">
        <v>50</v>
      </c>
      <c r="I78" s="11" t="s">
        <v>49</v>
      </c>
      <c r="K78" s="13" t="s">
        <v>105</v>
      </c>
      <c r="O78" s="27">
        <v>0</v>
      </c>
      <c r="P78" s="27">
        <v>195</v>
      </c>
      <c r="Q78" s="27">
        <f t="shared" si="22"/>
        <v>4405</v>
      </c>
      <c r="R78" s="31">
        <f t="shared" si="23"/>
        <v>4600</v>
      </c>
      <c r="S78" s="26">
        <v>1045</v>
      </c>
      <c r="T78" s="33">
        <f t="shared" si="24"/>
        <v>5645</v>
      </c>
      <c r="U78" s="26">
        <f t="shared" si="25"/>
        <v>245.43478260869566</v>
      </c>
      <c r="V78" s="26">
        <f t="shared" si="21"/>
        <v>14.565217391304344</v>
      </c>
    </row>
    <row r="79" spans="1:22" ht="15">
      <c r="A79" s="14">
        <f t="shared" si="16"/>
        <v>32</v>
      </c>
      <c r="B79" s="11">
        <v>91115</v>
      </c>
      <c r="D79" s="43"/>
      <c r="E79" s="11">
        <v>40</v>
      </c>
      <c r="F79" s="57">
        <v>23</v>
      </c>
      <c r="G79" s="12" t="s">
        <v>22</v>
      </c>
      <c r="H79" s="11" t="s">
        <v>50</v>
      </c>
      <c r="I79" s="11" t="s">
        <v>49</v>
      </c>
      <c r="K79" s="13" t="s">
        <v>105</v>
      </c>
      <c r="O79" s="27">
        <v>0</v>
      </c>
      <c r="P79" s="27">
        <v>195</v>
      </c>
      <c r="Q79" s="27">
        <f t="shared" si="22"/>
        <v>4405</v>
      </c>
      <c r="R79" s="31">
        <f t="shared" si="23"/>
        <v>4600</v>
      </c>
      <c r="S79" s="26">
        <v>1045</v>
      </c>
      <c r="T79" s="33">
        <f t="shared" si="24"/>
        <v>5645</v>
      </c>
      <c r="U79" s="26">
        <f t="shared" si="25"/>
        <v>245.43478260869566</v>
      </c>
      <c r="V79" s="26">
        <f t="shared" si="21"/>
        <v>14.565217391304344</v>
      </c>
    </row>
    <row r="80" spans="1:22" ht="15">
      <c r="A80" s="14">
        <f t="shared" si="16"/>
        <v>33</v>
      </c>
      <c r="B80" s="11">
        <v>91115</v>
      </c>
      <c r="D80" s="43"/>
      <c r="E80" s="11">
        <v>40</v>
      </c>
      <c r="F80" s="57">
        <v>23</v>
      </c>
      <c r="G80" s="12" t="s">
        <v>22</v>
      </c>
      <c r="H80" s="11" t="s">
        <v>50</v>
      </c>
      <c r="I80" s="11" t="s">
        <v>49</v>
      </c>
      <c r="K80" s="13" t="s">
        <v>105</v>
      </c>
      <c r="O80" s="27">
        <v>0</v>
      </c>
      <c r="P80" s="27">
        <v>195</v>
      </c>
      <c r="Q80" s="27">
        <f t="shared" si="22"/>
        <v>4405</v>
      </c>
      <c r="R80" s="31">
        <f t="shared" si="23"/>
        <v>4600</v>
      </c>
      <c r="S80" s="26">
        <v>1045</v>
      </c>
      <c r="T80" s="33">
        <f t="shared" si="24"/>
        <v>5645</v>
      </c>
      <c r="U80" s="26">
        <f t="shared" si="25"/>
        <v>245.43478260869566</v>
      </c>
      <c r="V80" s="26">
        <f t="shared" si="21"/>
        <v>14.565217391304344</v>
      </c>
    </row>
    <row r="81" spans="1:22" ht="15">
      <c r="A81" s="14">
        <f t="shared" si="16"/>
        <v>34</v>
      </c>
      <c r="B81" s="11">
        <v>91115</v>
      </c>
      <c r="D81" s="43"/>
      <c r="E81" s="11">
        <v>40</v>
      </c>
      <c r="F81" s="57">
        <v>23</v>
      </c>
      <c r="G81" s="12" t="s">
        <v>22</v>
      </c>
      <c r="H81" s="11" t="s">
        <v>50</v>
      </c>
      <c r="I81" s="11" t="s">
        <v>49</v>
      </c>
      <c r="K81" s="13" t="s">
        <v>105</v>
      </c>
      <c r="O81" s="27">
        <v>0</v>
      </c>
      <c r="P81" s="27">
        <v>195</v>
      </c>
      <c r="Q81" s="27">
        <f t="shared" si="22"/>
        <v>4405</v>
      </c>
      <c r="R81" s="31">
        <f t="shared" si="23"/>
        <v>4600</v>
      </c>
      <c r="S81" s="26">
        <v>1045</v>
      </c>
      <c r="T81" s="33">
        <f t="shared" si="24"/>
        <v>5645</v>
      </c>
      <c r="U81" s="26">
        <f t="shared" si="25"/>
        <v>245.43478260869566</v>
      </c>
      <c r="V81" s="26">
        <f t="shared" si="21"/>
        <v>14.565217391304344</v>
      </c>
    </row>
    <row r="82" spans="1:22" ht="15">
      <c r="A82" s="14">
        <f t="shared" si="16"/>
        <v>35</v>
      </c>
      <c r="B82" s="11">
        <v>91115</v>
      </c>
      <c r="D82" s="43"/>
      <c r="E82" s="11">
        <v>40</v>
      </c>
      <c r="F82" s="57">
        <v>23</v>
      </c>
      <c r="G82" s="12" t="s">
        <v>22</v>
      </c>
      <c r="H82" s="11" t="s">
        <v>50</v>
      </c>
      <c r="I82" s="11" t="s">
        <v>49</v>
      </c>
      <c r="K82" s="13" t="s">
        <v>105</v>
      </c>
      <c r="O82" s="27">
        <v>0</v>
      </c>
      <c r="P82" s="27">
        <v>195</v>
      </c>
      <c r="Q82" s="27">
        <f t="shared" si="22"/>
        <v>4405</v>
      </c>
      <c r="R82" s="31">
        <f t="shared" si="23"/>
        <v>4600</v>
      </c>
      <c r="S82" s="26">
        <v>1045</v>
      </c>
      <c r="T82" s="33">
        <f t="shared" si="24"/>
        <v>5645</v>
      </c>
      <c r="U82" s="26">
        <f t="shared" si="25"/>
        <v>245.43478260869566</v>
      </c>
      <c r="V82" s="26">
        <f t="shared" si="21"/>
        <v>14.565217391304344</v>
      </c>
    </row>
    <row r="83" spans="1:22" ht="15">
      <c r="A83" s="14">
        <f t="shared" si="16"/>
        <v>36</v>
      </c>
      <c r="B83" s="11">
        <v>91115</v>
      </c>
      <c r="D83" s="43"/>
      <c r="E83" s="11">
        <v>40</v>
      </c>
      <c r="F83" s="57">
        <v>23</v>
      </c>
      <c r="G83" s="12" t="s">
        <v>22</v>
      </c>
      <c r="H83" s="11" t="s">
        <v>50</v>
      </c>
      <c r="I83" s="11" t="s">
        <v>49</v>
      </c>
      <c r="K83" s="13" t="s">
        <v>105</v>
      </c>
      <c r="O83" s="27">
        <v>0</v>
      </c>
      <c r="P83" s="27">
        <v>195</v>
      </c>
      <c r="Q83" s="27">
        <f t="shared" si="22"/>
        <v>4405</v>
      </c>
      <c r="R83" s="31">
        <f t="shared" si="23"/>
        <v>4600</v>
      </c>
      <c r="S83" s="26">
        <v>1045</v>
      </c>
      <c r="T83" s="33">
        <f t="shared" si="24"/>
        <v>5645</v>
      </c>
      <c r="U83" s="26">
        <f t="shared" si="25"/>
        <v>245.43478260869566</v>
      </c>
      <c r="V83" s="26">
        <f t="shared" si="21"/>
        <v>14.565217391304344</v>
      </c>
    </row>
    <row r="84" spans="1:22" ht="15">
      <c r="A84" s="14">
        <f t="shared" si="16"/>
        <v>37</v>
      </c>
      <c r="B84" s="11">
        <v>91115</v>
      </c>
      <c r="D84" s="43"/>
      <c r="E84" s="11">
        <v>40</v>
      </c>
      <c r="F84" s="57">
        <v>23</v>
      </c>
      <c r="G84" s="12" t="s">
        <v>22</v>
      </c>
      <c r="H84" s="11" t="s">
        <v>50</v>
      </c>
      <c r="I84" s="11" t="s">
        <v>49</v>
      </c>
      <c r="K84" s="13" t="s">
        <v>105</v>
      </c>
      <c r="O84" s="27">
        <v>0</v>
      </c>
      <c r="P84" s="27">
        <v>195</v>
      </c>
      <c r="Q84" s="27">
        <f t="shared" si="22"/>
        <v>4405</v>
      </c>
      <c r="R84" s="31">
        <f t="shared" si="23"/>
        <v>4600</v>
      </c>
      <c r="S84" s="26">
        <v>1045</v>
      </c>
      <c r="T84" s="33">
        <f t="shared" si="24"/>
        <v>5645</v>
      </c>
      <c r="U84" s="26">
        <f t="shared" si="25"/>
        <v>245.43478260869566</v>
      </c>
      <c r="V84" s="26">
        <f t="shared" si="21"/>
        <v>14.565217391304344</v>
      </c>
    </row>
    <row r="85" spans="1:24" ht="15">
      <c r="A85" s="14">
        <f t="shared" si="16"/>
        <v>38</v>
      </c>
      <c r="B85" s="11">
        <v>91115</v>
      </c>
      <c r="D85" s="43"/>
      <c r="E85" s="11">
        <v>40</v>
      </c>
      <c r="F85" s="57">
        <v>23</v>
      </c>
      <c r="G85" s="12" t="s">
        <v>22</v>
      </c>
      <c r="H85" s="11" t="s">
        <v>50</v>
      </c>
      <c r="I85" s="11" t="s">
        <v>49</v>
      </c>
      <c r="K85" s="13" t="s">
        <v>105</v>
      </c>
      <c r="O85" s="27">
        <v>0</v>
      </c>
      <c r="P85" s="27">
        <v>195</v>
      </c>
      <c r="Q85" s="27">
        <f t="shared" si="22"/>
        <v>4405</v>
      </c>
      <c r="R85" s="31">
        <f t="shared" si="23"/>
        <v>4600</v>
      </c>
      <c r="S85" s="26">
        <v>1045</v>
      </c>
      <c r="T85" s="33">
        <f t="shared" si="24"/>
        <v>5645</v>
      </c>
      <c r="U85" s="26">
        <f t="shared" si="25"/>
        <v>245.43478260869566</v>
      </c>
      <c r="V85" s="26">
        <f t="shared" si="21"/>
        <v>14.565217391304344</v>
      </c>
      <c r="X85" t="s">
        <v>36</v>
      </c>
    </row>
    <row r="86" spans="1:22" ht="15">
      <c r="A86" s="14">
        <f t="shared" si="16"/>
        <v>39</v>
      </c>
      <c r="B86" s="11">
        <v>91115</v>
      </c>
      <c r="D86" s="43"/>
      <c r="E86" s="11">
        <v>40</v>
      </c>
      <c r="F86" s="57">
        <v>23</v>
      </c>
      <c r="G86" s="12" t="s">
        <v>22</v>
      </c>
      <c r="H86" s="11" t="s">
        <v>50</v>
      </c>
      <c r="I86" s="11" t="s">
        <v>49</v>
      </c>
      <c r="K86" s="13" t="s">
        <v>105</v>
      </c>
      <c r="O86" s="27">
        <v>0</v>
      </c>
      <c r="P86" s="27">
        <v>195</v>
      </c>
      <c r="Q86" s="27">
        <f t="shared" si="22"/>
        <v>4405</v>
      </c>
      <c r="R86" s="31">
        <f t="shared" si="23"/>
        <v>4600</v>
      </c>
      <c r="S86" s="26">
        <v>1045</v>
      </c>
      <c r="T86" s="33">
        <f t="shared" si="24"/>
        <v>5645</v>
      </c>
      <c r="U86" s="26">
        <f t="shared" si="25"/>
        <v>245.43478260869566</v>
      </c>
      <c r="V86" s="26">
        <f t="shared" si="21"/>
        <v>14.565217391304344</v>
      </c>
    </row>
    <row r="87" spans="1:22" ht="15">
      <c r="A87" s="14">
        <f t="shared" si="16"/>
        <v>40</v>
      </c>
      <c r="B87" s="11">
        <v>91115</v>
      </c>
      <c r="D87" s="43"/>
      <c r="E87" s="11">
        <v>40</v>
      </c>
      <c r="F87" s="57">
        <v>23</v>
      </c>
      <c r="G87" s="12" t="s">
        <v>22</v>
      </c>
      <c r="H87" s="11" t="s">
        <v>50</v>
      </c>
      <c r="I87" s="11" t="s">
        <v>49</v>
      </c>
      <c r="K87" s="13" t="s">
        <v>105</v>
      </c>
      <c r="O87" s="27">
        <v>0</v>
      </c>
      <c r="P87" s="27">
        <v>195</v>
      </c>
      <c r="Q87" s="27">
        <f t="shared" si="22"/>
        <v>4405</v>
      </c>
      <c r="R87" s="31">
        <f t="shared" si="23"/>
        <v>4600</v>
      </c>
      <c r="S87" s="26">
        <v>1045</v>
      </c>
      <c r="T87" s="33">
        <f t="shared" si="24"/>
        <v>5645</v>
      </c>
      <c r="U87" s="26">
        <f t="shared" si="25"/>
        <v>245.43478260869566</v>
      </c>
      <c r="V87" s="26">
        <f t="shared" si="21"/>
        <v>14.565217391304344</v>
      </c>
    </row>
    <row r="88" spans="1:22" ht="15">
      <c r="A88" s="14">
        <f t="shared" si="16"/>
        <v>41</v>
      </c>
      <c r="B88" s="11">
        <v>91115</v>
      </c>
      <c r="D88" s="43"/>
      <c r="E88" s="11">
        <v>40</v>
      </c>
      <c r="F88" s="57">
        <v>23</v>
      </c>
      <c r="G88" s="12" t="s">
        <v>22</v>
      </c>
      <c r="H88" s="11" t="s">
        <v>50</v>
      </c>
      <c r="I88" s="11" t="s">
        <v>49</v>
      </c>
      <c r="K88" s="13" t="s">
        <v>105</v>
      </c>
      <c r="O88" s="27">
        <v>0</v>
      </c>
      <c r="P88" s="27">
        <v>195</v>
      </c>
      <c r="Q88" s="27">
        <f t="shared" si="22"/>
        <v>4405</v>
      </c>
      <c r="R88" s="31">
        <f t="shared" si="23"/>
        <v>4600</v>
      </c>
      <c r="S88" s="26">
        <v>1045</v>
      </c>
      <c r="T88" s="33">
        <f t="shared" si="24"/>
        <v>5645</v>
      </c>
      <c r="U88" s="26">
        <f t="shared" si="25"/>
        <v>245.43478260869566</v>
      </c>
      <c r="V88" s="26">
        <f t="shared" si="21"/>
        <v>14.565217391304344</v>
      </c>
    </row>
    <row r="89" spans="1:22" ht="15">
      <c r="A89" s="14">
        <f t="shared" si="16"/>
        <v>42</v>
      </c>
      <c r="B89" s="11">
        <v>91115</v>
      </c>
      <c r="D89" s="43"/>
      <c r="E89" s="11">
        <v>40</v>
      </c>
      <c r="F89" s="57">
        <v>23</v>
      </c>
      <c r="G89" s="12" t="s">
        <v>22</v>
      </c>
      <c r="H89" s="11" t="s">
        <v>50</v>
      </c>
      <c r="I89" s="11" t="s">
        <v>49</v>
      </c>
      <c r="K89" s="13" t="s">
        <v>105</v>
      </c>
      <c r="O89" s="27">
        <v>0</v>
      </c>
      <c r="P89" s="27">
        <v>195</v>
      </c>
      <c r="Q89" s="27">
        <f t="shared" si="22"/>
        <v>4405</v>
      </c>
      <c r="R89" s="31">
        <f t="shared" si="23"/>
        <v>4600</v>
      </c>
      <c r="S89" s="26">
        <v>1045</v>
      </c>
      <c r="T89" s="33">
        <f t="shared" si="24"/>
        <v>5645</v>
      </c>
      <c r="U89" s="26">
        <f t="shared" si="25"/>
        <v>245.43478260869566</v>
      </c>
      <c r="V89" s="26">
        <f t="shared" si="21"/>
        <v>14.565217391304344</v>
      </c>
    </row>
    <row r="90" spans="1:22" ht="15">
      <c r="A90" s="14">
        <f t="shared" si="16"/>
        <v>43</v>
      </c>
      <c r="B90" s="11">
        <v>91115</v>
      </c>
      <c r="D90" s="43"/>
      <c r="E90" s="11">
        <v>40</v>
      </c>
      <c r="F90" s="57">
        <v>23</v>
      </c>
      <c r="G90" s="12" t="s">
        <v>22</v>
      </c>
      <c r="H90" s="11" t="s">
        <v>50</v>
      </c>
      <c r="I90" s="11" t="s">
        <v>49</v>
      </c>
      <c r="K90" s="13" t="s">
        <v>105</v>
      </c>
      <c r="O90" s="27">
        <v>0</v>
      </c>
      <c r="P90" s="27">
        <v>195</v>
      </c>
      <c r="Q90" s="27">
        <f t="shared" si="22"/>
        <v>4405</v>
      </c>
      <c r="R90" s="31">
        <f t="shared" si="23"/>
        <v>4600</v>
      </c>
      <c r="S90" s="26">
        <v>1045</v>
      </c>
      <c r="T90" s="33">
        <f t="shared" si="24"/>
        <v>5645</v>
      </c>
      <c r="U90" s="26">
        <f t="shared" si="25"/>
        <v>245.43478260869566</v>
      </c>
      <c r="V90" s="26">
        <f t="shared" si="21"/>
        <v>14.565217391304344</v>
      </c>
    </row>
    <row r="91" spans="1:22" ht="15">
      <c r="A91" s="14">
        <f t="shared" si="16"/>
        <v>44</v>
      </c>
      <c r="B91" s="11">
        <v>91115</v>
      </c>
      <c r="D91" s="43"/>
      <c r="E91" s="11">
        <v>40</v>
      </c>
      <c r="F91" s="57">
        <v>23</v>
      </c>
      <c r="G91" s="12" t="s">
        <v>22</v>
      </c>
      <c r="H91" s="11" t="s">
        <v>50</v>
      </c>
      <c r="I91" s="11" t="s">
        <v>49</v>
      </c>
      <c r="K91" s="13" t="s">
        <v>105</v>
      </c>
      <c r="O91" s="27">
        <v>0</v>
      </c>
      <c r="P91" s="27">
        <v>195</v>
      </c>
      <c r="Q91" s="27">
        <f t="shared" si="22"/>
        <v>4405</v>
      </c>
      <c r="R91" s="31">
        <f t="shared" si="23"/>
        <v>4600</v>
      </c>
      <c r="S91" s="26">
        <v>1045</v>
      </c>
      <c r="T91" s="33">
        <f t="shared" si="24"/>
        <v>5645</v>
      </c>
      <c r="U91" s="26">
        <f t="shared" si="25"/>
        <v>245.43478260869566</v>
      </c>
      <c r="V91" s="26">
        <f t="shared" si="21"/>
        <v>14.565217391304344</v>
      </c>
    </row>
    <row r="92" spans="1:22" ht="19.5" thickBot="1">
      <c r="A92" s="14"/>
      <c r="D92" s="43"/>
      <c r="E92" s="11"/>
      <c r="F92" s="138">
        <f>SUM(F48:F91)</f>
        <v>1012</v>
      </c>
      <c r="G92" s="12"/>
      <c r="H92" s="11"/>
      <c r="I92" s="11"/>
      <c r="O92" s="27"/>
      <c r="P92" s="27"/>
      <c r="Q92" s="27"/>
      <c r="R92" s="31">
        <f>SUM(R48:R91)</f>
        <v>202400</v>
      </c>
      <c r="S92" s="26"/>
      <c r="T92" s="137">
        <f>SUM(T48:T91)</f>
        <v>248380</v>
      </c>
      <c r="U92" s="26"/>
      <c r="V92" s="161">
        <f>(260*F92)-T92</f>
        <v>14740</v>
      </c>
    </row>
    <row r="93" spans="1:22" ht="24" thickBot="1">
      <c r="A93" s="14"/>
      <c r="B93" s="77" t="s">
        <v>45</v>
      </c>
      <c r="C93" s="40"/>
      <c r="D93" s="37"/>
      <c r="E93" s="37"/>
      <c r="F93" s="141">
        <f>F92+F31+F39+F45+F21</f>
        <v>1628.248</v>
      </c>
      <c r="G93" s="37"/>
      <c r="H93" s="37"/>
      <c r="I93" s="37"/>
      <c r="J93" s="37"/>
      <c r="K93" s="37"/>
      <c r="L93" s="37"/>
      <c r="M93" s="37"/>
      <c r="N93" s="37"/>
      <c r="O93" s="41">
        <f>SUM(O11:O38)</f>
        <v>2850</v>
      </c>
      <c r="P93" s="41">
        <f>SUM(P11:P38)</f>
        <v>4290</v>
      </c>
      <c r="Q93" s="41">
        <f>SUM(Q11:Q38)</f>
        <v>109343.65</v>
      </c>
      <c r="R93" s="41">
        <f>R92+R31+R39+R45+R21</f>
        <v>338136.10500000004</v>
      </c>
      <c r="S93" s="41">
        <f>S92+S31+S21</f>
        <v>0</v>
      </c>
      <c r="T93" s="41">
        <f>T92+T31+T39+T45+T21</f>
        <v>417227.505</v>
      </c>
      <c r="U93" s="42">
        <f>T93/F93</f>
        <v>256.2432166353037</v>
      </c>
      <c r="V93" s="162">
        <f>V45+V39+V31+V21+V92</f>
        <v>21481.063</v>
      </c>
    </row>
    <row r="95" spans="9:11" ht="15.75">
      <c r="I95" s="182"/>
      <c r="K95" t="s">
        <v>36</v>
      </c>
    </row>
    <row r="96" spans="3:19" ht="15">
      <c r="C96" s="170"/>
      <c r="D96" t="s">
        <v>225</v>
      </c>
      <c r="F96" s="11"/>
      <c r="G96" s="11"/>
      <c r="H96" s="11"/>
      <c r="I96" s="11"/>
      <c r="J96" s="11"/>
      <c r="S96" t="s">
        <v>36</v>
      </c>
    </row>
    <row r="97" spans="3:10" ht="28.5">
      <c r="C97" s="181"/>
      <c r="F97" s="11"/>
      <c r="G97" s="183" t="s">
        <v>237</v>
      </c>
      <c r="H97" s="11"/>
      <c r="I97" s="185">
        <f ca="1">TODAY()</f>
        <v>40146</v>
      </c>
      <c r="J97" s="11"/>
    </row>
    <row r="98" spans="3:10" ht="15.75" thickBot="1">
      <c r="C98" s="181"/>
      <c r="F98" s="11"/>
      <c r="G98" s="11"/>
      <c r="H98" s="11"/>
      <c r="I98" s="11"/>
      <c r="J98" s="11"/>
    </row>
    <row r="99" spans="4:20" ht="19.5" thickBot="1">
      <c r="D99" s="187" t="s">
        <v>240</v>
      </c>
      <c r="E99" s="188"/>
      <c r="F99" s="189">
        <v>90807</v>
      </c>
      <c r="G99" s="189">
        <v>90915</v>
      </c>
      <c r="H99" s="189">
        <v>90918</v>
      </c>
      <c r="I99" s="190">
        <v>91013</v>
      </c>
      <c r="J99" s="191">
        <v>91115</v>
      </c>
      <c r="T99" t="s">
        <v>36</v>
      </c>
    </row>
    <row r="100" spans="4:10" ht="15">
      <c r="D100" t="s">
        <v>227</v>
      </c>
      <c r="F100" s="11">
        <v>150</v>
      </c>
      <c r="G100" s="11">
        <v>100</v>
      </c>
      <c r="H100" s="11">
        <v>250</v>
      </c>
      <c r="I100" s="11">
        <v>250</v>
      </c>
      <c r="J100" s="11">
        <v>1000</v>
      </c>
    </row>
    <row r="101" spans="4:10" ht="15">
      <c r="D101" t="s">
        <v>228</v>
      </c>
      <c r="F101" s="11">
        <f>SUM(F11:F16)</f>
        <v>138.57</v>
      </c>
      <c r="G101" s="11">
        <f>F21-F101</f>
        <v>75.44000000000003</v>
      </c>
      <c r="H101" s="11">
        <f>F31</f>
        <v>193.67</v>
      </c>
      <c r="I101" s="180">
        <f>F39+F45</f>
        <v>208.56799999999998</v>
      </c>
      <c r="J101" s="11">
        <v>0</v>
      </c>
    </row>
    <row r="102" spans="4:10" ht="15">
      <c r="D102" t="s">
        <v>229</v>
      </c>
      <c r="F102" s="142">
        <v>0</v>
      </c>
      <c r="G102" s="142">
        <v>0</v>
      </c>
      <c r="H102" s="142">
        <v>0</v>
      </c>
      <c r="I102" s="142">
        <f>F38</f>
        <v>0</v>
      </c>
      <c r="J102" s="142">
        <f>F48+F49+F50</f>
        <v>69</v>
      </c>
    </row>
    <row r="103" spans="4:10" ht="15">
      <c r="D103" t="s">
        <v>241</v>
      </c>
      <c r="E103" t="s">
        <v>239</v>
      </c>
      <c r="F103" s="186">
        <f>F101-F100</f>
        <v>-11.430000000000007</v>
      </c>
      <c r="G103" s="186">
        <f>G101-G100</f>
        <v>-24.559999999999974</v>
      </c>
      <c r="H103" s="186">
        <f>H101-H100</f>
        <v>-56.33000000000001</v>
      </c>
      <c r="I103" s="186">
        <f>I101-I100</f>
        <v>-41.432000000000016</v>
      </c>
      <c r="J103" s="186">
        <f>J102-J101-J100</f>
        <v>-931</v>
      </c>
    </row>
    <row r="104" spans="6:10" ht="15">
      <c r="F104" s="11"/>
      <c r="G104" s="11"/>
      <c r="H104" s="11"/>
      <c r="I104" s="11"/>
      <c r="J104" s="11"/>
    </row>
    <row r="105" spans="4:10" ht="15">
      <c r="D105" t="s">
        <v>230</v>
      </c>
      <c r="F105" s="179">
        <v>40031</v>
      </c>
      <c r="G105" s="179">
        <v>40042</v>
      </c>
      <c r="H105" s="179">
        <v>40078</v>
      </c>
      <c r="I105" s="179">
        <v>40112</v>
      </c>
      <c r="J105" s="179">
        <v>40137</v>
      </c>
    </row>
    <row r="106" spans="4:10" ht="15">
      <c r="D106" t="s">
        <v>231</v>
      </c>
      <c r="F106" s="179">
        <v>40049</v>
      </c>
      <c r="G106" s="179">
        <v>40052</v>
      </c>
      <c r="H106" s="179">
        <v>40108</v>
      </c>
      <c r="I106" s="11" t="s">
        <v>238</v>
      </c>
      <c r="J106" s="11" t="s">
        <v>238</v>
      </c>
    </row>
    <row r="107" spans="4:10" ht="15">
      <c r="D107" t="s">
        <v>232</v>
      </c>
      <c r="E107" t="s">
        <v>236</v>
      </c>
      <c r="F107" s="11">
        <v>18</v>
      </c>
      <c r="G107" s="11">
        <v>10</v>
      </c>
      <c r="H107" s="11">
        <v>30</v>
      </c>
      <c r="I107" s="11">
        <f>I97-I105</f>
        <v>34</v>
      </c>
      <c r="J107" s="11">
        <f>I97-J105</f>
        <v>9</v>
      </c>
    </row>
    <row r="108" spans="6:10" ht="15">
      <c r="F108" s="11"/>
      <c r="G108" s="11"/>
      <c r="H108" s="11"/>
      <c r="I108" s="11"/>
      <c r="J108" s="11"/>
    </row>
    <row r="109" spans="4:10" ht="15">
      <c r="D109" t="s">
        <v>233</v>
      </c>
      <c r="F109" s="179">
        <v>40036</v>
      </c>
      <c r="G109" s="179">
        <v>40052</v>
      </c>
      <c r="H109" s="179">
        <v>40073</v>
      </c>
      <c r="I109" s="179">
        <v>40112</v>
      </c>
      <c r="J109" s="179">
        <v>40140</v>
      </c>
    </row>
    <row r="110" spans="4:10" ht="15">
      <c r="D110" t="s">
        <v>234</v>
      </c>
      <c r="F110" s="179">
        <v>40049</v>
      </c>
      <c r="G110" s="179">
        <v>40052</v>
      </c>
      <c r="H110" s="179">
        <v>40108</v>
      </c>
      <c r="I110" s="11" t="s">
        <v>238</v>
      </c>
      <c r="J110" s="11" t="s">
        <v>238</v>
      </c>
    </row>
    <row r="111" spans="4:10" ht="15">
      <c r="D111" t="s">
        <v>235</v>
      </c>
      <c r="E111" t="s">
        <v>236</v>
      </c>
      <c r="F111" s="11">
        <v>13</v>
      </c>
      <c r="G111" s="11">
        <v>1</v>
      </c>
      <c r="H111" s="11">
        <v>35</v>
      </c>
      <c r="I111" s="11">
        <f>I97-I109</f>
        <v>34</v>
      </c>
      <c r="J111" s="11">
        <f>I97-J109</f>
        <v>6</v>
      </c>
    </row>
    <row r="120" ht="15">
      <c r="I120" t="s">
        <v>36</v>
      </c>
    </row>
  </sheetData>
  <sheetProtection/>
  <hyperlinks>
    <hyperlink ref="N11" r:id="rId1" display="1078 FAITH GROUP COMPANY.pdf"/>
    <hyperlink ref="N12" r:id="rId2" display="1080 FAITH GROUP COMPANY.pdf"/>
    <hyperlink ref="N13" r:id="rId3" display="1079 FAITH GROUP COMPANY.pdf"/>
    <hyperlink ref="N14" r:id="rId4" display="1081 FAITH GROUP COMPANY.pdf"/>
    <hyperlink ref="N15" r:id="rId5" display="1082 FAITH GROUP COMPANY-UESU-508346-0.pdf"/>
    <hyperlink ref="N16" r:id="rId6" display="1083 FAITH GROUP COMPANY.pdf"/>
    <hyperlink ref="N18" r:id="rId7" display="GVCU-501582-3\1084 FAITH GROUP COMPANY-GVCU-501582-3.pdf"/>
    <hyperlink ref="N19" r:id="rId8" display="1085 FAITH GROUP COMPANY- FSCU 952418-4.pdf"/>
    <hyperlink ref="N20" r:id="rId9" display="http://www.prrecycling.com/retramar/EMCU961101-3/1086 FAITH GROUP COMPANY - EMCU 961101-3.pdf"/>
    <hyperlink ref="K11" r:id="rId10" display="EMCU 965191-0\20090819131704526.pdf"/>
    <hyperlink ref="F11" r:id="rId11" display="EMCU 965191-0\escanear0033.jpg"/>
    <hyperlink ref="F15" r:id="rId12" display="UESU-508346-0\img005.jpg"/>
    <hyperlink ref="K13" r:id="rId13" display="MSCUCG068558"/>
    <hyperlink ref="K14" r:id="rId14" display="20090903121059762.pdf"/>
    <hyperlink ref="K16" r:id="rId15" display="20090827145903620 (2).pdf"/>
    <hyperlink ref="K12" r:id="rId16" display="20090827145903620 (2).pdf"/>
    <hyperlink ref="F12" r:id="rId17" display="FCIU211417-3\escanear0041.jpg"/>
    <hyperlink ref="F13" r:id="rId18" display="MSCU 472236-9\Peso Container MSCU 472236-9.jpg"/>
    <hyperlink ref="F14" r:id="rId19" display="INKU-223757-0\img003.jpg"/>
    <hyperlink ref="F16" r:id="rId20" display="GVCU 525940-8\escanear0044.jpg"/>
    <hyperlink ref="K15" r:id="rId21" display="UESU-508346-0\20090902143423522.pdf"/>
    <hyperlink ref="K18" r:id="rId22" display="GVCU-501582-3\20090902092312537.pdf"/>
    <hyperlink ref="K19" r:id="rId23" display="FSCU-952418-4\20090909102950323 (2).pdf"/>
    <hyperlink ref="F19" r:id="rId24" display="FSCU-952418-4\foto scanner.jpg"/>
    <hyperlink ref="F18" r:id="rId25" display="GVCU-501582-3\escanear0008.jpg"/>
    <hyperlink ref="F20" r:id="rId26" display="http://www.prrecycling.com/retramar/EMCU961101-3/scan.jpg"/>
    <hyperlink ref="K20" r:id="rId27" display="http://www.prrecycling.com/retramar/EMCU961101-3/20090925085918766 (2).pdf"/>
    <hyperlink ref="F23" r:id="rId28" display="http://www.prrecycling.com/retramar/fscu900745-3/Tiquete de Peso.jpg"/>
    <hyperlink ref="K23" r:id="rId29" display="http://www.prrecycling.com/retramar/fscu900745-3/20090930142849093.pdf"/>
    <hyperlink ref="N23" r:id="rId30" display="http://www.prrecycling.com/retramar/1101 FAITH GROUP COMPANY - FSCU 900745-3.pdf"/>
    <hyperlink ref="N25" r:id="rId31" display="http://www.prrecycling.com/retramar/1100 FAITH GROUP COMPANY - TGHU801872-3.pdf"/>
    <hyperlink ref="F25" r:id="rId32" display="http://www.prrecycling.com/retramar/TGHU 801872-3/PESA.jpg"/>
    <hyperlink ref="F27" r:id="rId33" display="http://www.prrecycling.com/retramar/CRXU975046-8/escanear0004.jpg"/>
    <hyperlink ref="N27" r:id="rId34" display="http://www.prrecycling.com/retramar/1103 FAITH GROUP COMPANY - CRXU975046-8.pdf"/>
    <hyperlink ref="F24" r:id="rId35" display="http://www.prrecycling.com/retramar/MSCU910497-5/Weight Ticket.jpg"/>
    <hyperlink ref="K24" r:id="rId36" display="PEND"/>
    <hyperlink ref="N24" r:id="rId37" display="http://www.prrecycling.com/retramar/1108 FAITH GROUP COMPANY - MSCU910497-5.pdf"/>
    <hyperlink ref="F26" r:id="rId38" display="http://www.prrecycling.com/retramar/FSCU 687905-1/scan tiquete de peso chino leon.JPG"/>
    <hyperlink ref="N26" r:id="rId39" display="http://www.prrecycling.com/retramar/1102 FAITH GROUP COMPANY - FSCU 687905-1.pdf"/>
    <hyperlink ref="F28" r:id="rId40" display="http://www.prrecycling.com/retramar/MSCU754897-0/Weight Ticket038.jpg"/>
    <hyperlink ref="N28" r:id="rId41" display="http://www.prrecycling.com/retramar/1109 FAITH GROUP COMPANY - MSCU754897-0.pdf"/>
    <hyperlink ref="C28" r:id="rId42" display="HMS1&amp;2(80/20)"/>
    <hyperlink ref="K26" r:id="rId43" display="http://www.prrecycling.com/retramar/FSCU 687905-1/BL Wk43.pdf"/>
    <hyperlink ref="K25" r:id="rId44" display="mscuCG072782"/>
    <hyperlink ref="K28" r:id="rId45" display="mscuCG072782"/>
    <hyperlink ref="K30" r:id="rId46" display="mscuCG072782"/>
    <hyperlink ref="N30" r:id="rId47" display="http://www.prrecycling.com/retramar/1111 FAITH GROUP COMPANY - FBLU903104-7.pdf"/>
    <hyperlink ref="N29" r:id="rId48" display="http://www.prrecycling.com/retramar/1114 FAITH GROUP COMPANY - MSCU 714705-2.pdf"/>
    <hyperlink ref="F30" r:id="rId49" display="http://www.prrecycling.com/retramar/FBLU 903104-7/1 001.jpg"/>
    <hyperlink ref="C30" r:id="rId50" display="HMS1&amp;2(80/20)"/>
    <hyperlink ref="F29" r:id="rId51" display="http://www.prrecycling.com/retramar/MSCU 714705-2/Peso048.jpg"/>
    <hyperlink ref="C29" r:id="rId52" display="HMS1&amp;2(80/20)"/>
    <hyperlink ref="C27" r:id="rId53" display="HMS1&amp;2(80/20)"/>
    <hyperlink ref="C26" r:id="rId54" display="HMS1&amp;2(80/20)"/>
    <hyperlink ref="C25" r:id="rId55" display="HMS1&amp;2(80/20)"/>
    <hyperlink ref="K27" r:id="rId56" display="MSCUCG072022"/>
    <hyperlink ref="C24" r:id="rId57" display="HMS1&amp;2(80/20)"/>
    <hyperlink ref="C23" r:id="rId58" display="HMS1&amp;2(80/20)"/>
    <hyperlink ref="K29" r:id="rId59" display="MSCUCG73830"/>
    <hyperlink ref="N33:N36" r:id="rId60" display="http://www.prrecycling.com/retramar/1122 FAITH GROUP COMPANY - 4 CONTAINERS APL.pdf"/>
    <hyperlink ref="N41:N44" r:id="rId61" display="http://www.prrecycling.com/retramar/1123 FAITH GROUP COMPANY - 4 CONTAINERS MSC.pdf"/>
    <hyperlink ref="K41:K44" r:id="rId62" display="MSCUCG070341"/>
    <hyperlink ref="F33" r:id="rId63" display="http://www.prrecycling.com/retramar/APHU695886-2/tiquete de peso APHU 695886-2.jpg"/>
    <hyperlink ref="F34" r:id="rId64" display="http://www.prrecycling.com/retramar/APHU698181-5/Boleta de peso.jpg"/>
    <hyperlink ref="F35" r:id="rId65" display="http://www.prrecycling.com/retramar/GESU484679-5/tiquete de peso GESU 484679-5.jpg"/>
    <hyperlink ref="F36" r:id="rId66" display="http://www.prrecycling.com/retramar/GESU563032-6/Boleta de peso.jpg"/>
    <hyperlink ref="F41" r:id="rId67" display="http://www.prrecycling.com/retramar/CAXU979569-0/img111.jpg"/>
    <hyperlink ref="F42" r:id="rId68" display="http://www.prrecycling.com/retramar/MSCU911863-9/img110.jpg"/>
    <hyperlink ref="F43" r:id="rId69" display="http://www.prrecycling.com/retramar/CLHU807399-9/tiquete de peso CLHU 807399-9.jpg"/>
    <hyperlink ref="F44" r:id="rId70" display="http://www.prrecycling.com/retramar/TTNU989515-8/tiquete de peso TTNU 989515-8.jpg"/>
    <hyperlink ref="N37" r:id="rId71" display="../../../Documents and Settings/nicholas apostol/My Documents/1127 FAITH GROUP COMPANY - 1 CONTAINERS APL.pdf"/>
    <hyperlink ref="F37" r:id="rId72" display="TRLU581890-2\Boleta de peso TRLU521890-2.jpg"/>
    <hyperlink ref="C34" r:id="rId73" display="HMS1&amp;2(80/20)"/>
    <hyperlink ref="F99" r:id="rId74" display="PO 090807 FOB LIMON 150MT.pdf"/>
    <hyperlink ref="G99" r:id="rId75" display="PO 090815 FOB CALDERA.pdf"/>
    <hyperlink ref="H99" r:id="rId76" display="PO 090919.pdf"/>
    <hyperlink ref="J99" r:id="rId77" display="PO 091115.pdf"/>
    <hyperlink ref="K34:K36" r:id="rId78" display="APL904012015"/>
  </hyperlinks>
  <printOptions/>
  <pageMargins left="0.7" right="0.7" top="0.75" bottom="0.75" header="0.3" footer="0.3"/>
  <pageSetup horizontalDpi="600" verticalDpi="600" orientation="portrait" paperSize="130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1.28125" style="0" customWidth="1"/>
    <col min="5" max="5" width="18.8515625" style="0" customWidth="1"/>
    <col min="6" max="6" width="15.8515625" style="0" customWidth="1"/>
    <col min="7" max="7" width="16.421875" style="0" customWidth="1"/>
    <col min="8" max="8" width="22.57421875" style="0" customWidth="1"/>
    <col min="9" max="9" width="18.28125" style="0" customWidth="1"/>
  </cols>
  <sheetData>
    <row r="1" ht="31.5">
      <c r="B1" s="3" t="s">
        <v>0</v>
      </c>
    </row>
    <row r="2" spans="2:12" ht="18.75">
      <c r="B2" s="2" t="s">
        <v>3</v>
      </c>
      <c r="E2" s="9" t="s">
        <v>15</v>
      </c>
      <c r="F2" s="8" t="s">
        <v>17</v>
      </c>
      <c r="H2" s="10" t="s">
        <v>20</v>
      </c>
      <c r="I2" s="10"/>
      <c r="J2" s="8"/>
      <c r="L2" s="10"/>
    </row>
    <row r="3" spans="6:12" ht="15.75">
      <c r="F3" s="8" t="s">
        <v>16</v>
      </c>
      <c r="H3" s="10" t="s">
        <v>21</v>
      </c>
      <c r="I3" s="10"/>
      <c r="J3" s="8"/>
      <c r="L3" s="10"/>
    </row>
    <row r="4" spans="2:12" ht="15.75">
      <c r="B4" t="s">
        <v>8</v>
      </c>
      <c r="D4" t="s">
        <v>77</v>
      </c>
      <c r="F4" s="8" t="s">
        <v>18</v>
      </c>
      <c r="H4" s="10" t="s">
        <v>22</v>
      </c>
      <c r="I4" s="10"/>
      <c r="J4" s="8"/>
      <c r="L4" s="10"/>
    </row>
    <row r="5" spans="6:12" ht="15.75">
      <c r="F5" s="8" t="s">
        <v>19</v>
      </c>
      <c r="H5" s="10" t="s">
        <v>23</v>
      </c>
      <c r="I5" s="10"/>
      <c r="J5" s="8"/>
      <c r="L5" s="10"/>
    </row>
    <row r="7" ht="19.5" thickBot="1">
      <c r="B7" s="9" t="s">
        <v>28</v>
      </c>
    </row>
    <row r="8" spans="1:10" ht="15">
      <c r="A8" s="164" t="s">
        <v>192</v>
      </c>
      <c r="B8" s="15"/>
      <c r="C8" s="15"/>
      <c r="D8" s="16" t="s">
        <v>96</v>
      </c>
      <c r="E8" s="16" t="s">
        <v>34</v>
      </c>
      <c r="F8" s="16" t="s">
        <v>32</v>
      </c>
      <c r="G8" s="16" t="s">
        <v>48</v>
      </c>
      <c r="H8" s="15"/>
      <c r="I8" s="16" t="s">
        <v>193</v>
      </c>
      <c r="J8" s="17"/>
    </row>
    <row r="9" spans="1:10" ht="15.75" thickBot="1">
      <c r="A9" s="165" t="s">
        <v>191</v>
      </c>
      <c r="B9" s="21" t="s">
        <v>25</v>
      </c>
      <c r="C9" s="21" t="s">
        <v>29</v>
      </c>
      <c r="D9" s="18" t="s">
        <v>30</v>
      </c>
      <c r="E9" s="18" t="s">
        <v>31</v>
      </c>
      <c r="F9" s="18" t="s">
        <v>33</v>
      </c>
      <c r="G9" s="18" t="s">
        <v>33</v>
      </c>
      <c r="H9" s="19"/>
      <c r="I9" s="18" t="s">
        <v>190</v>
      </c>
      <c r="J9" s="20"/>
    </row>
    <row r="11" spans="1:9" ht="15">
      <c r="A11">
        <v>1</v>
      </c>
      <c r="B11" s="62" t="s">
        <v>98</v>
      </c>
      <c r="C11" s="35">
        <v>40036</v>
      </c>
      <c r="D11" s="63">
        <v>0</v>
      </c>
      <c r="E11" s="26">
        <v>11935</v>
      </c>
      <c r="F11" s="52">
        <f aca="true" t="shared" si="0" ref="F11:F23">E11-D11</f>
        <v>11935</v>
      </c>
      <c r="G11" s="52">
        <f>F11</f>
        <v>11935</v>
      </c>
      <c r="H11" t="s">
        <v>184</v>
      </c>
      <c r="I11" t="s">
        <v>194</v>
      </c>
    </row>
    <row r="12" spans="1:9" ht="15">
      <c r="A12">
        <v>2</v>
      </c>
      <c r="B12" s="57">
        <v>1078</v>
      </c>
      <c r="C12" s="35">
        <v>40045</v>
      </c>
      <c r="D12" s="26">
        <f>Sheet1!R11+35</f>
        <v>5592.7</v>
      </c>
      <c r="E12" s="26"/>
      <c r="F12" s="52">
        <f t="shared" si="0"/>
        <v>-5592.7</v>
      </c>
      <c r="G12" s="52">
        <f>G11+F12</f>
        <v>6342.3</v>
      </c>
      <c r="H12" t="s">
        <v>188</v>
      </c>
      <c r="I12" t="s">
        <v>195</v>
      </c>
    </row>
    <row r="13" spans="1:9" ht="15">
      <c r="A13">
        <v>3</v>
      </c>
      <c r="B13" s="57">
        <v>1079</v>
      </c>
      <c r="C13" s="25">
        <v>40046</v>
      </c>
      <c r="D13" s="26">
        <f>Sheet1!R13+35</f>
        <v>4694.650000000001</v>
      </c>
      <c r="E13" s="26"/>
      <c r="F13" s="52">
        <f t="shared" si="0"/>
        <v>-4694.650000000001</v>
      </c>
      <c r="G13" s="52">
        <f aca="true" t="shared" si="1" ref="G13:G20">G12+F13</f>
        <v>1647.6499999999996</v>
      </c>
      <c r="H13" t="s">
        <v>188</v>
      </c>
      <c r="I13" t="s">
        <v>195</v>
      </c>
    </row>
    <row r="14" spans="1:9" ht="15">
      <c r="A14">
        <v>4</v>
      </c>
      <c r="B14" s="57">
        <v>1080</v>
      </c>
      <c r="C14" s="35">
        <v>40046</v>
      </c>
      <c r="D14" s="26">
        <f>Sheet1!R12+35</f>
        <v>4565.05</v>
      </c>
      <c r="E14" s="26"/>
      <c r="F14" s="52">
        <f t="shared" si="0"/>
        <v>-4565.05</v>
      </c>
      <c r="G14" s="52">
        <f t="shared" si="1"/>
        <v>-2917.4000000000005</v>
      </c>
      <c r="H14" t="s">
        <v>188</v>
      </c>
      <c r="I14" t="s">
        <v>195</v>
      </c>
    </row>
    <row r="15" spans="1:9" ht="15">
      <c r="A15">
        <v>5</v>
      </c>
      <c r="B15" s="62" t="s">
        <v>97</v>
      </c>
      <c r="C15" s="35">
        <v>40049</v>
      </c>
      <c r="D15" s="63">
        <v>0</v>
      </c>
      <c r="E15" s="26">
        <v>11965</v>
      </c>
      <c r="F15" s="52">
        <f t="shared" si="0"/>
        <v>11965</v>
      </c>
      <c r="G15" s="52">
        <f>G14+F15</f>
        <v>9047.599999999999</v>
      </c>
      <c r="H15" t="s">
        <v>184</v>
      </c>
      <c r="I15" t="s">
        <v>197</v>
      </c>
    </row>
    <row r="16" spans="1:9" ht="15">
      <c r="A16">
        <v>6</v>
      </c>
      <c r="B16" s="57">
        <v>1081</v>
      </c>
      <c r="C16" s="35">
        <v>40050</v>
      </c>
      <c r="D16" s="26">
        <f>Sheet1!R14+35</f>
        <v>3319.5499999999997</v>
      </c>
      <c r="E16" s="26"/>
      <c r="F16" s="52">
        <f t="shared" si="0"/>
        <v>-3319.5499999999997</v>
      </c>
      <c r="G16" s="52">
        <f>G15+F16</f>
        <v>5728.049999999999</v>
      </c>
      <c r="H16" t="s">
        <v>188</v>
      </c>
      <c r="I16" t="s">
        <v>196</v>
      </c>
    </row>
    <row r="17" spans="1:9" ht="15">
      <c r="A17">
        <v>7</v>
      </c>
      <c r="B17" s="57">
        <v>1082</v>
      </c>
      <c r="C17" s="35">
        <v>40050</v>
      </c>
      <c r="D17" s="26">
        <f>Sheet1!R15+35</f>
        <v>4842.5</v>
      </c>
      <c r="E17" s="26"/>
      <c r="F17" s="52">
        <f t="shared" si="0"/>
        <v>-4842.5</v>
      </c>
      <c r="G17" s="52">
        <f t="shared" si="1"/>
        <v>885.5499999999993</v>
      </c>
      <c r="H17" t="s">
        <v>188</v>
      </c>
      <c r="I17" t="s">
        <v>196</v>
      </c>
    </row>
    <row r="18" spans="1:9" ht="15">
      <c r="A18">
        <v>8</v>
      </c>
      <c r="B18" s="57">
        <v>1083</v>
      </c>
      <c r="C18" s="35">
        <v>40050</v>
      </c>
      <c r="D18" s="26">
        <f>Sheet1!R16+35</f>
        <v>6411.7</v>
      </c>
      <c r="E18" s="26"/>
      <c r="F18" s="52">
        <f t="shared" si="0"/>
        <v>-6411.7</v>
      </c>
      <c r="G18" s="52">
        <f t="shared" si="1"/>
        <v>-5526.150000000001</v>
      </c>
      <c r="H18" t="s">
        <v>188</v>
      </c>
      <c r="I18" t="s">
        <v>198</v>
      </c>
    </row>
    <row r="19" spans="1:9" ht="15">
      <c r="A19">
        <v>9</v>
      </c>
      <c r="B19" s="57">
        <v>1084</v>
      </c>
      <c r="C19" s="35">
        <v>40051</v>
      </c>
      <c r="D19" s="26">
        <f>Sheet1!R18+35</f>
        <v>5955.95</v>
      </c>
      <c r="E19" s="26"/>
      <c r="F19" s="52">
        <f t="shared" si="0"/>
        <v>-5955.95</v>
      </c>
      <c r="G19" s="52">
        <f>G18+F19</f>
        <v>-11482.1</v>
      </c>
      <c r="H19" t="s">
        <v>188</v>
      </c>
      <c r="I19" t="s">
        <v>198</v>
      </c>
    </row>
    <row r="20" spans="1:9" ht="15">
      <c r="A20">
        <v>10</v>
      </c>
      <c r="B20" s="57">
        <v>1085</v>
      </c>
      <c r="C20" s="35">
        <v>40052</v>
      </c>
      <c r="D20" s="26">
        <f>Sheet1!R19+35</f>
        <v>4462.25</v>
      </c>
      <c r="E20" s="26"/>
      <c r="F20" s="52">
        <f t="shared" si="0"/>
        <v>-4462.25</v>
      </c>
      <c r="G20" s="52">
        <f t="shared" si="1"/>
        <v>-15944.35</v>
      </c>
      <c r="H20" t="s">
        <v>188</v>
      </c>
      <c r="I20" t="s">
        <v>198</v>
      </c>
    </row>
    <row r="21" spans="1:9" ht="15">
      <c r="A21">
        <f>A20+1</f>
        <v>11</v>
      </c>
      <c r="B21" s="62" t="s">
        <v>95</v>
      </c>
      <c r="C21" s="35">
        <v>40052</v>
      </c>
      <c r="D21" s="27">
        <v>0</v>
      </c>
      <c r="E21" s="26">
        <v>22000</v>
      </c>
      <c r="F21" s="52">
        <f t="shared" si="0"/>
        <v>22000</v>
      </c>
      <c r="G21" s="52">
        <f>G20+F21</f>
        <v>6055.65</v>
      </c>
      <c r="H21" t="s">
        <v>184</v>
      </c>
      <c r="I21" t="s">
        <v>199</v>
      </c>
    </row>
    <row r="22" spans="1:9" ht="15">
      <c r="A22">
        <f>A21+1</f>
        <v>12</v>
      </c>
      <c r="B22" s="62" t="s">
        <v>94</v>
      </c>
      <c r="C22" s="35">
        <v>40073</v>
      </c>
      <c r="D22" s="27">
        <v>0</v>
      </c>
      <c r="E22" s="26">
        <v>53280</v>
      </c>
      <c r="F22" s="52">
        <f t="shared" si="0"/>
        <v>53280</v>
      </c>
      <c r="G22" s="52">
        <f>G21+F22</f>
        <v>59335.65</v>
      </c>
      <c r="H22" t="s">
        <v>184</v>
      </c>
      <c r="I22" t="s">
        <v>203</v>
      </c>
    </row>
    <row r="23" spans="1:9" ht="15">
      <c r="A23">
        <f>A22+1</f>
        <v>13</v>
      </c>
      <c r="B23" s="57">
        <v>1086</v>
      </c>
      <c r="C23" s="35">
        <v>40080</v>
      </c>
      <c r="D23" s="26">
        <f>Sheet1!R20-Sheet1!O20+35</f>
        <v>5432.6</v>
      </c>
      <c r="E23" s="26"/>
      <c r="F23" s="52">
        <f t="shared" si="0"/>
        <v>-5432.6</v>
      </c>
      <c r="G23" s="52">
        <f>G22+F23</f>
        <v>53903.05</v>
      </c>
      <c r="H23" t="s">
        <v>188</v>
      </c>
      <c r="I23" t="s">
        <v>207</v>
      </c>
    </row>
    <row r="24" spans="1:11" ht="15">
      <c r="A24">
        <f>A23+1</f>
        <v>14</v>
      </c>
      <c r="B24" s="57">
        <v>1101</v>
      </c>
      <c r="C24" s="35">
        <v>40088</v>
      </c>
      <c r="D24" s="26">
        <f>Sheet1!R23-Sheet1!O23</f>
        <v>6423.88</v>
      </c>
      <c r="E24" s="26"/>
      <c r="F24" s="52">
        <f aca="true" t="shared" si="2" ref="F24:F29">E24-D24</f>
        <v>-6423.88</v>
      </c>
      <c r="G24" s="52">
        <f>G23+F24</f>
        <v>47479.170000000006</v>
      </c>
      <c r="H24" t="s">
        <v>188</v>
      </c>
      <c r="I24" t="s">
        <v>207</v>
      </c>
      <c r="K24" t="s">
        <v>36</v>
      </c>
    </row>
    <row r="25" spans="1:12" ht="15">
      <c r="A25">
        <f aca="true" t="shared" si="3" ref="A25:A41">A24+1</f>
        <v>15</v>
      </c>
      <c r="B25" s="57">
        <v>1100</v>
      </c>
      <c r="C25" s="35">
        <v>40088</v>
      </c>
      <c r="D25" s="26">
        <f>Sheet1!R25</f>
        <v>5202.62</v>
      </c>
      <c r="E25" s="26"/>
      <c r="F25" s="52">
        <f t="shared" si="2"/>
        <v>-5202.62</v>
      </c>
      <c r="G25" s="52">
        <f aca="true" t="shared" si="4" ref="G25:G31">G24+F25</f>
        <v>42276.55</v>
      </c>
      <c r="H25" t="s">
        <v>188</v>
      </c>
      <c r="I25" t="s">
        <v>207</v>
      </c>
      <c r="L25" t="s">
        <v>36</v>
      </c>
    </row>
    <row r="26" spans="1:9" ht="15">
      <c r="A26">
        <f t="shared" si="3"/>
        <v>16</v>
      </c>
      <c r="B26" s="57">
        <v>1103</v>
      </c>
      <c r="C26" s="35">
        <v>40088</v>
      </c>
      <c r="D26" s="26">
        <f>Sheet1!R27</f>
        <v>6062.950000000001</v>
      </c>
      <c r="E26" s="26"/>
      <c r="F26" s="52">
        <f t="shared" si="2"/>
        <v>-6062.950000000001</v>
      </c>
      <c r="G26" s="52">
        <f t="shared" si="4"/>
        <v>36213.600000000006</v>
      </c>
      <c r="H26" t="s">
        <v>188</v>
      </c>
      <c r="I26" t="s">
        <v>207</v>
      </c>
    </row>
    <row r="27" spans="1:9" ht="15">
      <c r="A27">
        <f t="shared" si="3"/>
        <v>17</v>
      </c>
      <c r="B27" s="57">
        <v>1102</v>
      </c>
      <c r="C27" s="35">
        <v>40095</v>
      </c>
      <c r="D27" s="26">
        <f>Sheet1!R26-Sheet1!O26</f>
        <v>6551</v>
      </c>
      <c r="E27" s="26"/>
      <c r="F27" s="52">
        <f t="shared" si="2"/>
        <v>-6551</v>
      </c>
      <c r="G27" s="52">
        <f t="shared" si="4"/>
        <v>29662.600000000006</v>
      </c>
      <c r="H27" t="s">
        <v>188</v>
      </c>
      <c r="I27" t="s">
        <v>207</v>
      </c>
    </row>
    <row r="28" spans="1:13" ht="15">
      <c r="A28">
        <f t="shared" si="3"/>
        <v>18</v>
      </c>
      <c r="B28" s="57">
        <v>1108</v>
      </c>
      <c r="C28" s="35">
        <v>40101</v>
      </c>
      <c r="D28" s="26">
        <f>Sheet1!R24</f>
        <v>6237.74</v>
      </c>
      <c r="E28" s="26"/>
      <c r="F28" s="52">
        <f t="shared" si="2"/>
        <v>-6237.74</v>
      </c>
      <c r="G28" s="52">
        <f t="shared" si="4"/>
        <v>23424.860000000008</v>
      </c>
      <c r="H28" t="s">
        <v>188</v>
      </c>
      <c r="I28" t="s">
        <v>207</v>
      </c>
      <c r="M28" t="s">
        <v>36</v>
      </c>
    </row>
    <row r="29" spans="1:16" ht="15">
      <c r="A29">
        <f t="shared" si="3"/>
        <v>19</v>
      </c>
      <c r="B29" s="57">
        <v>1109</v>
      </c>
      <c r="C29" s="35">
        <v>40100</v>
      </c>
      <c r="D29" s="26">
        <f>Sheet1!R28</f>
        <v>5189</v>
      </c>
      <c r="E29" s="26"/>
      <c r="F29" s="52">
        <f t="shared" si="2"/>
        <v>-5189</v>
      </c>
      <c r="G29" s="52">
        <f t="shared" si="4"/>
        <v>18235.860000000008</v>
      </c>
      <c r="H29" t="s">
        <v>188</v>
      </c>
      <c r="I29" t="s">
        <v>207</v>
      </c>
      <c r="K29" t="s">
        <v>36</v>
      </c>
      <c r="P29" t="s">
        <v>36</v>
      </c>
    </row>
    <row r="30" spans="1:9" ht="15">
      <c r="A30">
        <f t="shared" si="3"/>
        <v>20</v>
      </c>
      <c r="B30" s="57">
        <v>1111</v>
      </c>
      <c r="C30" s="35">
        <v>40101</v>
      </c>
      <c r="D30" s="26">
        <f>Sheet1!R29</f>
        <v>5189</v>
      </c>
      <c r="E30" s="26"/>
      <c r="F30" s="52">
        <f aca="true" t="shared" si="5" ref="F30:F38">E30-D30</f>
        <v>-5189</v>
      </c>
      <c r="G30" s="52">
        <f t="shared" si="4"/>
        <v>13046.860000000008</v>
      </c>
      <c r="H30" t="s">
        <v>188</v>
      </c>
      <c r="I30" t="s">
        <v>207</v>
      </c>
    </row>
    <row r="31" spans="1:12" ht="15">
      <c r="A31">
        <f t="shared" si="3"/>
        <v>21</v>
      </c>
      <c r="B31" s="57">
        <v>1114</v>
      </c>
      <c r="C31" s="35">
        <v>40101</v>
      </c>
      <c r="D31" s="26">
        <f>Sheet1!R30</f>
        <v>4666.9</v>
      </c>
      <c r="E31" s="26"/>
      <c r="F31" s="52">
        <f t="shared" si="5"/>
        <v>-4666.9</v>
      </c>
      <c r="G31" s="52">
        <f t="shared" si="4"/>
        <v>8379.960000000008</v>
      </c>
      <c r="H31" t="s">
        <v>188</v>
      </c>
      <c r="I31" t="s">
        <v>207</v>
      </c>
      <c r="J31" t="s">
        <v>36</v>
      </c>
      <c r="L31" t="s">
        <v>36</v>
      </c>
    </row>
    <row r="32" spans="1:9" ht="15.75">
      <c r="A32">
        <f t="shared" si="3"/>
        <v>22</v>
      </c>
      <c r="B32" s="144">
        <v>1118</v>
      </c>
      <c r="C32" s="35">
        <v>40108</v>
      </c>
      <c r="D32" s="26">
        <v>55044</v>
      </c>
      <c r="E32" s="26"/>
      <c r="F32" s="52">
        <f t="shared" si="5"/>
        <v>-55044</v>
      </c>
      <c r="G32" s="52">
        <f aca="true" t="shared" si="6" ref="G32:G38">G31+F32</f>
        <v>-46664.03999999999</v>
      </c>
      <c r="H32" t="s">
        <v>188</v>
      </c>
      <c r="I32" t="s">
        <v>205</v>
      </c>
    </row>
    <row r="33" spans="1:9" ht="15">
      <c r="A33">
        <f t="shared" si="3"/>
        <v>23</v>
      </c>
      <c r="B33" s="157" t="s">
        <v>163</v>
      </c>
      <c r="C33" s="35">
        <v>40112</v>
      </c>
      <c r="D33" s="26">
        <v>0</v>
      </c>
      <c r="E33" s="26">
        <v>55009</v>
      </c>
      <c r="F33" s="52">
        <f t="shared" si="5"/>
        <v>55009</v>
      </c>
      <c r="G33" s="52">
        <f t="shared" si="6"/>
        <v>8344.960000000006</v>
      </c>
      <c r="H33" t="s">
        <v>184</v>
      </c>
      <c r="I33" t="s">
        <v>202</v>
      </c>
    </row>
    <row r="34" spans="1:9" ht="15">
      <c r="A34">
        <f t="shared" si="3"/>
        <v>24</v>
      </c>
      <c r="B34" s="157" t="s">
        <v>166</v>
      </c>
      <c r="C34" s="35">
        <v>40119</v>
      </c>
      <c r="D34" s="26">
        <v>-55044</v>
      </c>
      <c r="E34" s="26"/>
      <c r="F34" s="52">
        <f t="shared" si="5"/>
        <v>55044</v>
      </c>
      <c r="G34" s="52">
        <f t="shared" si="6"/>
        <v>63388.96000000001</v>
      </c>
      <c r="H34" t="s">
        <v>187</v>
      </c>
      <c r="I34" t="s">
        <v>201</v>
      </c>
    </row>
    <row r="35" spans="1:9" ht="15">
      <c r="A35">
        <f t="shared" si="3"/>
        <v>25</v>
      </c>
      <c r="B35" s="57" t="s">
        <v>213</v>
      </c>
      <c r="C35" s="35">
        <v>40119</v>
      </c>
      <c r="D35" s="26">
        <v>-350</v>
      </c>
      <c r="E35" s="26"/>
      <c r="F35" s="52">
        <f t="shared" si="5"/>
        <v>350</v>
      </c>
      <c r="G35" s="52">
        <f t="shared" si="6"/>
        <v>63738.96000000001</v>
      </c>
      <c r="H35" t="s">
        <v>189</v>
      </c>
      <c r="I35" t="s">
        <v>200</v>
      </c>
    </row>
    <row r="36" spans="1:9" ht="15">
      <c r="A36">
        <f t="shared" si="3"/>
        <v>26</v>
      </c>
      <c r="B36" s="57">
        <v>1122</v>
      </c>
      <c r="C36" s="35">
        <v>40122</v>
      </c>
      <c r="D36" s="26">
        <v>24350</v>
      </c>
      <c r="E36" s="26"/>
      <c r="F36" s="52">
        <f t="shared" si="5"/>
        <v>-24350</v>
      </c>
      <c r="G36" s="52">
        <f t="shared" si="6"/>
        <v>39388.96000000001</v>
      </c>
      <c r="H36" t="s">
        <v>188</v>
      </c>
      <c r="I36" t="s">
        <v>204</v>
      </c>
    </row>
    <row r="37" spans="1:9" ht="15">
      <c r="A37">
        <f t="shared" si="3"/>
        <v>27</v>
      </c>
      <c r="B37" s="57">
        <v>1123</v>
      </c>
      <c r="C37" s="158">
        <v>40122</v>
      </c>
      <c r="D37" s="26">
        <v>23470</v>
      </c>
      <c r="E37" s="26"/>
      <c r="F37" s="52">
        <f t="shared" si="5"/>
        <v>-23470</v>
      </c>
      <c r="G37" s="52">
        <f t="shared" si="6"/>
        <v>15918.960000000006</v>
      </c>
      <c r="H37" t="s">
        <v>188</v>
      </c>
      <c r="I37" t="s">
        <v>204</v>
      </c>
    </row>
    <row r="38" spans="1:9" ht="15">
      <c r="A38">
        <f t="shared" si="3"/>
        <v>28</v>
      </c>
      <c r="B38" s="57">
        <v>1126</v>
      </c>
      <c r="C38" s="158">
        <v>40132</v>
      </c>
      <c r="D38" s="26">
        <v>370</v>
      </c>
      <c r="E38" s="26"/>
      <c r="F38" s="52">
        <f t="shared" si="5"/>
        <v>-370</v>
      </c>
      <c r="G38" s="52">
        <f t="shared" si="6"/>
        <v>15548.960000000006</v>
      </c>
      <c r="H38" t="s">
        <v>186</v>
      </c>
      <c r="I38" t="s">
        <v>206</v>
      </c>
    </row>
    <row r="39" spans="1:9" ht="15">
      <c r="A39">
        <f t="shared" si="3"/>
        <v>29</v>
      </c>
      <c r="B39" s="57">
        <v>1127</v>
      </c>
      <c r="C39" s="158">
        <v>40135</v>
      </c>
      <c r="D39" s="26">
        <v>6077</v>
      </c>
      <c r="E39" s="26"/>
      <c r="F39" s="52">
        <f>E39-D39</f>
        <v>-6077</v>
      </c>
      <c r="G39" s="52">
        <f>G38+F39</f>
        <v>9471.960000000006</v>
      </c>
      <c r="H39" t="s">
        <v>188</v>
      </c>
      <c r="I39" t="s">
        <v>204</v>
      </c>
    </row>
    <row r="40" spans="1:8" ht="15">
      <c r="A40">
        <f t="shared" si="3"/>
        <v>30</v>
      </c>
      <c r="B40" s="57">
        <v>1128</v>
      </c>
      <c r="C40" s="158">
        <v>40137</v>
      </c>
      <c r="D40" s="26">
        <v>245150</v>
      </c>
      <c r="E40" s="26"/>
      <c r="F40" s="52">
        <f>E40-D40</f>
        <v>-245150</v>
      </c>
      <c r="G40" s="52">
        <f>G39+F40</f>
        <v>-235678.03999999998</v>
      </c>
      <c r="H40" t="s">
        <v>185</v>
      </c>
    </row>
    <row r="41" spans="1:9" ht="15.75" thickBot="1">
      <c r="A41">
        <f t="shared" si="3"/>
        <v>31</v>
      </c>
      <c r="B41" s="163" t="s">
        <v>183</v>
      </c>
      <c r="C41" s="158">
        <v>40140</v>
      </c>
      <c r="D41" s="26">
        <v>0</v>
      </c>
      <c r="E41" s="26">
        <v>65200</v>
      </c>
      <c r="F41" s="52">
        <f>E41-D41</f>
        <v>65200</v>
      </c>
      <c r="G41" s="52">
        <f>G40+F41</f>
        <v>-170478.03999999998</v>
      </c>
      <c r="H41" t="s">
        <v>184</v>
      </c>
      <c r="I41" t="s">
        <v>208</v>
      </c>
    </row>
    <row r="42" spans="2:10" ht="19.5" thickBot="1">
      <c r="B42" s="36" t="s">
        <v>45</v>
      </c>
      <c r="C42" s="37"/>
      <c r="D42" s="39">
        <f>SUM(D11:D41)</f>
        <v>389867.04</v>
      </c>
      <c r="E42" s="39">
        <f>SUM(E11:E41)</f>
        <v>219389</v>
      </c>
      <c r="F42" s="53">
        <f>SUM(F11:F41)</f>
        <v>-170478.03999999998</v>
      </c>
      <c r="G42" s="53">
        <f>G41</f>
        <v>-170478.03999999998</v>
      </c>
      <c r="H42" s="37"/>
      <c r="I42" s="37"/>
      <c r="J42" s="38"/>
    </row>
    <row r="43" spans="4:5" ht="15">
      <c r="D43" s="26"/>
      <c r="E43" s="26"/>
    </row>
    <row r="44" spans="4:5" ht="15">
      <c r="D44" s="26"/>
      <c r="E44" s="26"/>
    </row>
    <row r="45" spans="2:6" ht="15">
      <c r="B45" t="s">
        <v>209</v>
      </c>
      <c r="D45" s="26"/>
      <c r="E45" s="26"/>
      <c r="F45" s="26">
        <f>D42-D34-D35</f>
        <v>445261.04</v>
      </c>
    </row>
    <row r="46" spans="2:6" ht="15">
      <c r="B46" t="s">
        <v>210</v>
      </c>
      <c r="D46" s="26"/>
      <c r="E46" s="26" t="s">
        <v>36</v>
      </c>
      <c r="F46" s="166">
        <f>-55009-350</f>
        <v>-55359</v>
      </c>
    </row>
    <row r="47" spans="4:6" ht="15">
      <c r="D47" s="26"/>
      <c r="E47" s="26"/>
      <c r="F47" s="52">
        <f>F46+F45</f>
        <v>389902.04</v>
      </c>
    </row>
    <row r="48" spans="8:11" ht="15">
      <c r="H48" t="s">
        <v>36</v>
      </c>
      <c r="K48" s="80"/>
    </row>
    <row r="49" spans="2:6" ht="15">
      <c r="B49" t="s">
        <v>211</v>
      </c>
      <c r="F49" s="52">
        <f>E42*-1</f>
        <v>-219389</v>
      </c>
    </row>
    <row r="51" spans="2:6" ht="15">
      <c r="B51" t="s">
        <v>212</v>
      </c>
      <c r="F51" s="52">
        <f>F49+F47</f>
        <v>170513.03999999998</v>
      </c>
    </row>
  </sheetData>
  <sheetProtection/>
  <hyperlinks>
    <hyperlink ref="B25" r:id="rId1" display="http://www.prrecycling.com/My Websites - M-A-K.net/PRRecycling.com/retramar/TGHU 801872-3/1100 FAITH GROUP COMPANY - TGHU801872-3.pdf"/>
    <hyperlink ref="B24" r:id="rId2" display="http://www.prrecycling.com/My Websites - M-A-K.net/PRRecycling.com/retramar/fscu900745-3/1101 FAITH GROUP COMPANY - FSCU 900745-3.pdf"/>
    <hyperlink ref="B23" r:id="rId3" display="http://www.prrecycling.com/My Websites - M-A-K.net/PRRecycling.com/retramar/EMCU961101-3/1086 FAITH GROUP COMPANY - EMCU 961101-3.pdf"/>
    <hyperlink ref="B18" r:id="rId4" display="http://www.prrecycling.com/My Websites - M-A-K.net/PRRecycling.com/retramar/GVCU 525940-8/1083 FAITH GROUP COMPANY.pdf"/>
    <hyperlink ref="B19" r:id="rId5" display="http://www.prrecycling.com/My Websites - M-A-K.net/PRRecycling.com/retramar/GVCU-501582-3/1084 FAITH GROUP COMPANY-GVCU-501582-3.pdf"/>
    <hyperlink ref="B20" r:id="rId6" display="http://www.prrecycling.com/My Websites - M-A-K.net/PRRecycling.com/retramar/FSCU-952418-4/1085 FAITH GROUP COMPANY- FSCU 952418-4.pdf"/>
    <hyperlink ref="B17" r:id="rId7" display="http://www.prrecycling.com/My Websites - M-A-K.net/PRRecycling.com/retramar/UESU-508346-0/1082 FAITH GROUP COMPANY-UESU-508346-0.pdf"/>
    <hyperlink ref="B13" r:id="rId8" display="http://www.prrecycling.com/My Websites - M-A-K.net/PRRecycling.com/retramar/MSCU 472236-9/1079 FAITH GROUP COMPANY.pdf"/>
    <hyperlink ref="B12" r:id="rId9" display="http://www.prrecycling.com/My Websites - M-A-K.net/PRRecycling.com/retramar/EMCU 965191-0/1078 FAITH GROUP COMPANY.pdf"/>
    <hyperlink ref="B14" r:id="rId10" display="http://www.prrecycling.com/My Websites - M-A-K.net/PRRecycling.com/retramar/1080 FAITH GROUP COMPANY.pdf"/>
    <hyperlink ref="B16" r:id="rId11" display="http://www.prrecycling.com/My Websites - M-A-K.net/PRRecycling.com/retramar/INKU-223757-0/1081 FAITH GROUP COMPANY.pdf"/>
    <hyperlink ref="B26" r:id="rId12" display="http://www.prrecycling.com/retramar/CRXU975046-8/1103 FAITH GROUP COMPANY - CRXU975046-8.pdf"/>
    <hyperlink ref="B29" r:id="rId13" display="http://www.prrecycling.com/retramar/MSCU754897-0/1109 FAITH GROUP COMPANY - MSCU754897-0.pdf"/>
    <hyperlink ref="B27" r:id="rId14" display="http://www.prrecycling.com/retramar/FSCU 687905-1/1102 FAITH GROUP COMPANY - FSCU 687905-1.pdf"/>
    <hyperlink ref="B28" r:id="rId15" display="http://www.prrecycling.com/retramar/MSCU910497-5/1108 FAITH GROUP COMPANY - MSCU910497-5.pdf"/>
    <hyperlink ref="B30" r:id="rId16" display="http://www.prrecycling.com/retramar/FBLU 903104-7/1111 FAITH GROUP COMPANY - FBLU903104-7.pdf"/>
    <hyperlink ref="B31" r:id="rId17" display="http://www.prrecycling.com/retramar/MSCU 714705-2/1114 FAITH GROUP COMPANY - MSCU 714705-2.pdf"/>
    <hyperlink ref="B32" r:id="rId18" display="http://www.prrecycling.com/retramar/1118 FAITH GROUP COMPANY - 10 CONTAINERS.pdf"/>
    <hyperlink ref="B36" r:id="rId19" display="http://www.prrecycling.com/retramar/1122 FAITH GROUP COMPANY - 4 CONTAINERS APL.pdf"/>
    <hyperlink ref="B37" r:id="rId20" display="http://www.prrecycling.com/retramar/1123 FAITH GROUP COMPANY - 4 CONTAINERS MSC.pdf"/>
    <hyperlink ref="B39" r:id="rId21" display="1127 FAITH GROUP COMPANY - 1 CONTAINERS APL.pdf"/>
    <hyperlink ref="B38" r:id="rId22" display="1126 FAITH GROUP COMPANY - CAMBIOS EN BL's.pdf"/>
    <hyperlink ref="B35" r:id="rId23" display="CM 1121"/>
  </hyperlinks>
  <printOptions/>
  <pageMargins left="0.7" right="0.7" top="0.75" bottom="0.75" header="0.3" footer="0.3"/>
  <pageSetup horizontalDpi="600" verticalDpi="600" orientation="portrait" paperSize="130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J25" sqref="J25"/>
    </sheetView>
  </sheetViews>
  <sheetFormatPr defaultColWidth="9.140625" defaultRowHeight="15"/>
  <cols>
    <col min="2" max="2" width="14.28125" style="0" customWidth="1"/>
    <col min="3" max="3" width="18.8515625" style="0" customWidth="1"/>
    <col min="5" max="5" width="12.7109375" style="0" bestFit="1" customWidth="1"/>
    <col min="6" max="6" width="15.28125" style="0" customWidth="1"/>
    <col min="7" max="7" width="12.57421875" style="0" customWidth="1"/>
    <col min="8" max="8" width="14.140625" style="0" customWidth="1"/>
    <col min="9" max="9" width="14.28125" style="0" customWidth="1"/>
    <col min="10" max="10" width="14.140625" style="0" customWidth="1"/>
    <col min="11" max="11" width="12.00390625" style="0" customWidth="1"/>
  </cols>
  <sheetData>
    <row r="2" ht="21">
      <c r="B2" s="44" t="s">
        <v>60</v>
      </c>
    </row>
    <row r="3" spans="2:5" ht="15">
      <c r="B3" s="54" t="s">
        <v>61</v>
      </c>
      <c r="C3" s="54"/>
      <c r="D3" s="54"/>
      <c r="E3" s="54"/>
    </row>
    <row r="4" spans="2:5" ht="15">
      <c r="B4" s="54"/>
      <c r="C4" s="54"/>
      <c r="D4" s="54"/>
      <c r="E4" s="54"/>
    </row>
    <row r="5" spans="2:7" ht="21">
      <c r="B5" s="48" t="s">
        <v>117</v>
      </c>
      <c r="C5" s="54"/>
      <c r="D5" s="54"/>
      <c r="E5" s="54"/>
      <c r="G5" s="85">
        <v>250</v>
      </c>
    </row>
    <row r="6" spans="2:7" ht="21">
      <c r="B6" s="48" t="s">
        <v>118</v>
      </c>
      <c r="C6" s="54"/>
      <c r="D6" s="54"/>
      <c r="E6" s="54"/>
      <c r="G6" s="85">
        <v>220</v>
      </c>
    </row>
    <row r="7" spans="2:7" ht="21.75" thickBot="1">
      <c r="B7" s="48"/>
      <c r="C7" s="54"/>
      <c r="D7" s="54"/>
      <c r="E7" s="54"/>
      <c r="G7" s="82"/>
    </row>
    <row r="8" spans="1:11" ht="21.75" thickTop="1">
      <c r="A8" s="91"/>
      <c r="B8" s="93"/>
      <c r="C8" s="94"/>
      <c r="D8" s="94"/>
      <c r="E8" s="133"/>
      <c r="F8" s="128" t="s">
        <v>100</v>
      </c>
      <c r="G8" s="103" t="s">
        <v>119</v>
      </c>
      <c r="H8" s="114" t="s">
        <v>100</v>
      </c>
      <c r="I8" s="108" t="s">
        <v>119</v>
      </c>
      <c r="J8" s="121" t="s">
        <v>100</v>
      </c>
      <c r="K8" s="95" t="s">
        <v>119</v>
      </c>
    </row>
    <row r="9" spans="1:11" ht="15">
      <c r="A9" s="91"/>
      <c r="B9" s="96"/>
      <c r="C9" s="97"/>
      <c r="D9" s="97"/>
      <c r="E9" s="134"/>
      <c r="F9" s="129" t="s">
        <v>56</v>
      </c>
      <c r="G9" s="104" t="s">
        <v>56</v>
      </c>
      <c r="H9" s="115" t="s">
        <v>57</v>
      </c>
      <c r="I9" s="109" t="s">
        <v>57</v>
      </c>
      <c r="J9" s="122" t="s">
        <v>59</v>
      </c>
      <c r="K9" s="98" t="s">
        <v>59</v>
      </c>
    </row>
    <row r="10" spans="1:11" ht="18.75">
      <c r="A10" s="91"/>
      <c r="B10" s="99" t="s">
        <v>51</v>
      </c>
      <c r="C10" s="100"/>
      <c r="D10" s="100"/>
      <c r="E10" s="135"/>
      <c r="F10" s="132">
        <v>250</v>
      </c>
      <c r="G10" s="127">
        <v>500</v>
      </c>
      <c r="H10" s="116">
        <f aca="true" t="shared" si="0" ref="H10:I15">4.2*F10</f>
        <v>1050</v>
      </c>
      <c r="I10" s="110">
        <f t="shared" si="0"/>
        <v>2100</v>
      </c>
      <c r="J10" s="123"/>
      <c r="K10" s="91"/>
    </row>
    <row r="11" spans="1:11" ht="18.75">
      <c r="A11" s="91"/>
      <c r="B11" s="99" t="s">
        <v>52</v>
      </c>
      <c r="C11" s="100"/>
      <c r="D11" s="100"/>
      <c r="E11" s="135"/>
      <c r="F11" s="105">
        <f>F10/J11</f>
        <v>10</v>
      </c>
      <c r="G11" s="105">
        <f>G10/K11</f>
        <v>25</v>
      </c>
      <c r="H11" s="117">
        <f t="shared" si="0"/>
        <v>42</v>
      </c>
      <c r="I11" s="111">
        <f t="shared" si="0"/>
        <v>105</v>
      </c>
      <c r="J11" s="124">
        <v>25</v>
      </c>
      <c r="K11" s="120">
        <v>20</v>
      </c>
    </row>
    <row r="12" spans="1:11" ht="15">
      <c r="A12" s="91"/>
      <c r="B12" s="99" t="s">
        <v>53</v>
      </c>
      <c r="C12" s="100"/>
      <c r="D12" s="100"/>
      <c r="E12" s="135"/>
      <c r="F12" s="130">
        <f>1000*F11</f>
        <v>10000</v>
      </c>
      <c r="G12" s="106">
        <f>1000*G11</f>
        <v>25000</v>
      </c>
      <c r="H12" s="118">
        <f t="shared" si="0"/>
        <v>42000</v>
      </c>
      <c r="I12" s="112">
        <f t="shared" si="0"/>
        <v>105000</v>
      </c>
      <c r="J12" s="125">
        <v>1000</v>
      </c>
      <c r="K12" s="101">
        <v>1000</v>
      </c>
    </row>
    <row r="13" spans="1:11" ht="15">
      <c r="A13" s="91"/>
      <c r="B13" s="99" t="s">
        <v>54</v>
      </c>
      <c r="C13" s="100"/>
      <c r="D13" s="100"/>
      <c r="E13" s="135"/>
      <c r="F13" s="130">
        <f>(G$6*F10)-F14-F18-F12</f>
        <v>32550</v>
      </c>
      <c r="G13" s="106">
        <f>(G$5*G10)-G14-G17-G12</f>
        <v>63875</v>
      </c>
      <c r="H13" s="118">
        <f t="shared" si="0"/>
        <v>136710</v>
      </c>
      <c r="I13" s="112">
        <f t="shared" si="0"/>
        <v>268275</v>
      </c>
      <c r="J13" s="125">
        <f>F13/F11</f>
        <v>3255</v>
      </c>
      <c r="K13" s="101">
        <f>G13/G11</f>
        <v>2555</v>
      </c>
    </row>
    <row r="14" spans="1:13" ht="18.75">
      <c r="A14" s="91"/>
      <c r="B14" s="99" t="s">
        <v>55</v>
      </c>
      <c r="C14" s="100"/>
      <c r="D14" s="100"/>
      <c r="E14" s="135"/>
      <c r="F14" s="130">
        <f>J14*F11</f>
        <v>1950</v>
      </c>
      <c r="G14" s="106">
        <f>K14*G11</f>
        <v>4875</v>
      </c>
      <c r="H14" s="118">
        <f t="shared" si="0"/>
        <v>8190</v>
      </c>
      <c r="I14" s="147">
        <f t="shared" si="0"/>
        <v>20475</v>
      </c>
      <c r="J14" s="148">
        <v>195</v>
      </c>
      <c r="K14" s="148">
        <v>195</v>
      </c>
      <c r="M14" s="26"/>
    </row>
    <row r="15" spans="1:11" ht="15.75" thickBot="1">
      <c r="A15" s="91"/>
      <c r="B15" s="92" t="s">
        <v>78</v>
      </c>
      <c r="C15" s="90"/>
      <c r="D15" s="90"/>
      <c r="E15" s="136"/>
      <c r="F15" s="131">
        <f>F14+F13+F12</f>
        <v>44500</v>
      </c>
      <c r="G15" s="107">
        <f>G14+G13+G12</f>
        <v>93750</v>
      </c>
      <c r="H15" s="119">
        <f t="shared" si="0"/>
        <v>186900</v>
      </c>
      <c r="I15" s="113">
        <f t="shared" si="0"/>
        <v>393750</v>
      </c>
      <c r="J15" s="126">
        <f>F15/F11</f>
        <v>4450</v>
      </c>
      <c r="K15" s="102">
        <f>G15/G11</f>
        <v>3750</v>
      </c>
    </row>
    <row r="16" spans="2:8" ht="21.75" thickTop="1">
      <c r="B16" s="84" t="s">
        <v>120</v>
      </c>
      <c r="C16" s="46"/>
      <c r="D16" s="46"/>
      <c r="E16" s="45"/>
      <c r="F16" s="88">
        <f>(F15-F14)/F10</f>
        <v>170.2</v>
      </c>
      <c r="G16" s="88">
        <f>(G15-G14)/G10</f>
        <v>177.75</v>
      </c>
      <c r="H16" s="26"/>
    </row>
    <row r="17" spans="2:12" ht="18.75">
      <c r="B17" s="46" t="s">
        <v>79</v>
      </c>
      <c r="C17" s="46"/>
      <c r="D17" s="46"/>
      <c r="E17" s="87">
        <v>1250</v>
      </c>
      <c r="F17" s="86"/>
      <c r="G17" s="47">
        <f>E17*G11</f>
        <v>31250</v>
      </c>
      <c r="H17" s="26"/>
      <c r="L17" s="26"/>
    </row>
    <row r="18" spans="2:9" ht="18.75">
      <c r="B18" s="46" t="s">
        <v>80</v>
      </c>
      <c r="C18" s="46"/>
      <c r="D18" s="46"/>
      <c r="E18" s="87">
        <v>1050</v>
      </c>
      <c r="F18" s="47">
        <f>E18*F11</f>
        <v>10500</v>
      </c>
      <c r="G18" s="86"/>
      <c r="H18" s="26"/>
      <c r="I18" t="s">
        <v>36</v>
      </c>
    </row>
    <row r="19" spans="2:7" ht="21">
      <c r="B19" s="48" t="s">
        <v>58</v>
      </c>
      <c r="C19" s="48"/>
      <c r="D19" s="48"/>
      <c r="E19" s="44"/>
      <c r="F19" s="83"/>
      <c r="G19" s="55">
        <f>(G17/G10)+G16+(G14/G10)</f>
        <v>250</v>
      </c>
    </row>
    <row r="20" spans="2:7" ht="21">
      <c r="B20" s="48" t="s">
        <v>81</v>
      </c>
      <c r="F20" s="55">
        <f>(F18/F10)+F16+(F14/F10)</f>
        <v>220</v>
      </c>
      <c r="G20" s="83"/>
    </row>
    <row r="21" ht="15">
      <c r="J21" s="81"/>
    </row>
    <row r="22" spans="2:11" ht="18.75">
      <c r="B22" s="150" t="s">
        <v>62</v>
      </c>
      <c r="C22" s="151" t="s">
        <v>63</v>
      </c>
      <c r="D22" s="151" t="s">
        <v>49</v>
      </c>
      <c r="E22" s="151" t="s">
        <v>67</v>
      </c>
      <c r="F22" s="152" t="s">
        <v>68</v>
      </c>
      <c r="G22" s="152" t="s">
        <v>69</v>
      </c>
      <c r="H22" s="152" t="s">
        <v>26</v>
      </c>
      <c r="I22" s="152" t="s">
        <v>121</v>
      </c>
      <c r="J22" s="156" t="s">
        <v>154</v>
      </c>
      <c r="K22" s="153"/>
    </row>
    <row r="23" spans="2:9" ht="21">
      <c r="B23" s="154" t="s">
        <v>3</v>
      </c>
      <c r="C23" s="49"/>
      <c r="D23" s="49"/>
      <c r="E23" s="49"/>
      <c r="F23" s="50"/>
      <c r="G23" s="50"/>
      <c r="H23" s="50"/>
      <c r="I23" s="50"/>
    </row>
    <row r="24" spans="2:8" ht="15">
      <c r="B24" t="s">
        <v>65</v>
      </c>
      <c r="C24" t="s">
        <v>64</v>
      </c>
      <c r="D24" s="51"/>
      <c r="E24" s="51"/>
      <c r="F24" s="51">
        <v>1380</v>
      </c>
      <c r="G24" s="51"/>
      <c r="H24" s="51">
        <v>1500</v>
      </c>
    </row>
    <row r="25" spans="2:8" ht="15">
      <c r="B25" t="s">
        <v>66</v>
      </c>
      <c r="C25" t="s">
        <v>64</v>
      </c>
      <c r="D25" s="51">
        <v>1535</v>
      </c>
      <c r="E25" s="51">
        <v>1400</v>
      </c>
      <c r="F25" s="51"/>
      <c r="G25" s="51"/>
      <c r="H25" s="51"/>
    </row>
    <row r="26" spans="2:9" ht="15">
      <c r="B26" t="s">
        <v>65</v>
      </c>
      <c r="C26" t="s">
        <v>100</v>
      </c>
      <c r="D26" s="56">
        <v>1045</v>
      </c>
      <c r="E26" s="56"/>
      <c r="F26" s="51">
        <v>1050</v>
      </c>
      <c r="G26" s="51">
        <v>1600</v>
      </c>
      <c r="H26" s="51">
        <v>1300</v>
      </c>
      <c r="I26" s="51">
        <v>1043</v>
      </c>
    </row>
    <row r="27" spans="2:10" ht="15">
      <c r="B27" t="s">
        <v>66</v>
      </c>
      <c r="C27" t="s">
        <v>100</v>
      </c>
      <c r="D27" s="51">
        <v>950</v>
      </c>
      <c r="E27" s="51">
        <v>900</v>
      </c>
      <c r="F27" s="56"/>
      <c r="G27" s="51">
        <v>1600</v>
      </c>
      <c r="H27" s="56"/>
      <c r="J27" s="51">
        <v>950</v>
      </c>
    </row>
    <row r="28" spans="4:8" ht="15">
      <c r="D28" s="51"/>
      <c r="E28" s="51"/>
      <c r="F28" s="56"/>
      <c r="G28" s="51"/>
      <c r="H28" s="56"/>
    </row>
    <row r="29" spans="2:8" ht="15">
      <c r="B29" t="s">
        <v>142</v>
      </c>
      <c r="D29" s="51"/>
      <c r="E29" s="51"/>
      <c r="F29" s="56"/>
      <c r="G29" s="51"/>
      <c r="H29" s="56"/>
    </row>
    <row r="30" spans="2:8" ht="15">
      <c r="B30" t="s">
        <v>125</v>
      </c>
      <c r="C30" t="s">
        <v>100</v>
      </c>
      <c r="H30" s="51">
        <v>1045</v>
      </c>
    </row>
    <row r="31" ht="15">
      <c r="H31" s="51"/>
    </row>
    <row r="32" spans="2:8" ht="21">
      <c r="B32" s="155" t="s">
        <v>143</v>
      </c>
      <c r="H32" s="51"/>
    </row>
    <row r="33" spans="2:8" ht="15">
      <c r="B33" t="s">
        <v>134</v>
      </c>
      <c r="C33" t="s">
        <v>135</v>
      </c>
      <c r="H33" s="51">
        <v>1150</v>
      </c>
    </row>
    <row r="34" spans="2:8" ht="15">
      <c r="B34" t="s">
        <v>134</v>
      </c>
      <c r="C34" t="s">
        <v>136</v>
      </c>
      <c r="H34" s="51">
        <v>1125</v>
      </c>
    </row>
    <row r="35" spans="2:8" ht="15">
      <c r="B35" t="s">
        <v>134</v>
      </c>
      <c r="C35" t="s">
        <v>138</v>
      </c>
      <c r="H35" s="51">
        <v>1370</v>
      </c>
    </row>
    <row r="36" spans="2:8" ht="15">
      <c r="B36" t="s">
        <v>134</v>
      </c>
      <c r="C36" t="s">
        <v>119</v>
      </c>
      <c r="H36" s="51">
        <v>1250</v>
      </c>
    </row>
    <row r="37" spans="2:8" ht="15">
      <c r="B37" t="s">
        <v>134</v>
      </c>
      <c r="C37" t="s">
        <v>139</v>
      </c>
      <c r="H37" s="51">
        <v>1575</v>
      </c>
    </row>
    <row r="38" spans="2:8" ht="15">
      <c r="B38" t="s">
        <v>134</v>
      </c>
      <c r="C38" t="s">
        <v>137</v>
      </c>
      <c r="H38" s="51">
        <v>1250</v>
      </c>
    </row>
    <row r="39" spans="2:8" ht="15">
      <c r="B39" t="s">
        <v>134</v>
      </c>
      <c r="C39" t="s">
        <v>140</v>
      </c>
      <c r="H39" s="51">
        <v>1300</v>
      </c>
    </row>
    <row r="41" ht="15.75">
      <c r="B41" s="149" t="s">
        <v>141</v>
      </c>
    </row>
    <row r="42" ht="15.75">
      <c r="B42" s="149" t="s">
        <v>128</v>
      </c>
    </row>
    <row r="43" ht="15.75">
      <c r="B43" s="149" t="s">
        <v>129</v>
      </c>
    </row>
    <row r="44" ht="15.75">
      <c r="B44" s="149" t="s">
        <v>130</v>
      </c>
    </row>
    <row r="45" ht="15.75">
      <c r="B45" s="149" t="s">
        <v>131</v>
      </c>
    </row>
    <row r="46" ht="15.75">
      <c r="B46" s="149" t="s">
        <v>132</v>
      </c>
    </row>
    <row r="47" ht="15.75">
      <c r="B47" s="149" t="s">
        <v>133</v>
      </c>
    </row>
    <row r="49" ht="21">
      <c r="B49" s="155" t="s">
        <v>144</v>
      </c>
    </row>
    <row r="50" spans="2:5" ht="15.75">
      <c r="B50" s="149" t="s">
        <v>145</v>
      </c>
      <c r="C50" t="s">
        <v>100</v>
      </c>
      <c r="E50" s="56">
        <v>850</v>
      </c>
    </row>
    <row r="51" spans="2:5" ht="15.75">
      <c r="B51" s="149"/>
      <c r="C51" t="s">
        <v>119</v>
      </c>
      <c r="E51" s="56"/>
    </row>
    <row r="52" ht="15.75">
      <c r="B52" s="149" t="s">
        <v>162</v>
      </c>
    </row>
    <row r="53" spans="3:5" ht="15">
      <c r="C53" t="s">
        <v>159</v>
      </c>
      <c r="D53" s="160">
        <v>1000</v>
      </c>
      <c r="E53" s="160"/>
    </row>
    <row r="54" ht="15">
      <c r="C54" t="s">
        <v>119</v>
      </c>
    </row>
    <row r="55" ht="21">
      <c r="B55" s="155" t="s">
        <v>146</v>
      </c>
    </row>
    <row r="56" spans="2:5" ht="15">
      <c r="B56" t="s">
        <v>147</v>
      </c>
      <c r="C56" t="s">
        <v>161</v>
      </c>
      <c r="E56" s="56">
        <v>950</v>
      </c>
    </row>
    <row r="57" ht="15">
      <c r="B57" t="s">
        <v>156</v>
      </c>
    </row>
    <row r="58" spans="3:6" ht="15">
      <c r="C58" t="s">
        <v>157</v>
      </c>
      <c r="F58" s="56">
        <v>1930</v>
      </c>
    </row>
    <row r="59" spans="3:6" ht="15">
      <c r="C59" t="s">
        <v>158</v>
      </c>
      <c r="F59" s="56">
        <v>1950</v>
      </c>
    </row>
    <row r="60" spans="3:6" ht="15">
      <c r="C60" t="s">
        <v>159</v>
      </c>
      <c r="F60" s="56">
        <v>1925</v>
      </c>
    </row>
    <row r="61" spans="3:6" ht="15">
      <c r="C61" t="s">
        <v>160</v>
      </c>
      <c r="F61" s="56">
        <v>1960</v>
      </c>
    </row>
    <row r="63" ht="21">
      <c r="B63" s="155" t="s">
        <v>148</v>
      </c>
    </row>
    <row r="64" spans="2:7" ht="15">
      <c r="B64" t="s">
        <v>155</v>
      </c>
      <c r="C64" t="s">
        <v>100</v>
      </c>
      <c r="G64" s="51">
        <v>1892</v>
      </c>
    </row>
    <row r="67" ht="21">
      <c r="B67" s="155" t="s">
        <v>149</v>
      </c>
    </row>
    <row r="68" ht="15">
      <c r="B68" t="s">
        <v>151</v>
      </c>
    </row>
    <row r="69" ht="15">
      <c r="B69" t="s">
        <v>152</v>
      </c>
    </row>
    <row r="71" ht="21">
      <c r="B71" s="155" t="s">
        <v>150</v>
      </c>
    </row>
    <row r="72" ht="15">
      <c r="B72" t="s">
        <v>153</v>
      </c>
    </row>
  </sheetData>
  <sheetProtection selectLockedCells="1"/>
  <printOptions/>
  <pageMargins left="0.7" right="0.7" top="0.75" bottom="0.75" header="0.3" footer="0.3"/>
  <pageSetup horizontalDpi="600" verticalDpi="60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apostol</dc:creator>
  <cp:keywords/>
  <dc:description/>
  <cp:lastModifiedBy>nicholas apostol</cp:lastModifiedBy>
  <dcterms:created xsi:type="dcterms:W3CDTF">2009-08-24T22:24:46Z</dcterms:created>
  <dcterms:modified xsi:type="dcterms:W3CDTF">2009-11-29T17:37:13Z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lordofyardley</vt:lpwstr>
  </property>
</Properties>
</file>